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EXHW079370" sheetId="2" r:id="rId1"/>
  </sheets>
  <calcPr calcId="125725"/>
</workbook>
</file>

<file path=xl/calcChain.xml><?xml version="1.0" encoding="utf-8"?>
<calcChain xmlns="http://schemas.openxmlformats.org/spreadsheetml/2006/main">
  <c r="M377" i="2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<sst xmlns="http://schemas.openxmlformats.org/spreadsheetml/2006/main" count="1897" uniqueCount="398">
  <si>
    <t>11-05-2022 -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</si>
  <si>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</si>
  <si>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</si>
  <si>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</si>
  <si>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</si>
  <si>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</si>
  <si>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</si>
  <si>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</si>
  <si>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</si>
  <si>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</si>
  <si>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</si>
  <si>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</si>
  <si>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</si>
  <si>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</si>
  <si>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</si>
  <si>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</si>
  <si>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</si>
  <si>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</si>
  <si>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PNEUS BONDENO S.R.L</t>
  </si>
  <si>
    <t>IT01444510380</t>
  </si>
  <si>
    <t>SOCCORSO + RIPARAZIONE PNEUMATICO</t>
  </si>
  <si>
    <t>2OYZNC</t>
  </si>
  <si>
    <t>CAMBIO STAGIONALE RANGER</t>
  </si>
  <si>
    <t>SMONTAGGIO MONTAGGIO</t>
  </si>
  <si>
    <t>NIVI CREDIT S.R.L.</t>
  </si>
  <si>
    <t>IT04105740486</t>
  </si>
  <si>
    <t>Fattura per Rimborso Spese Procedura EMO su Pagati a EMO - Relazione del 31/12/2018</t>
  </si>
  <si>
    <t>: Fattura Corrispettivi su PT - Relazione del 31/12/2018</t>
  </si>
  <si>
    <t>OPEN GROUP COOPERATIVA SOCIALE</t>
  </si>
  <si>
    <t>IT02410141200</t>
  </si>
  <si>
    <t>Fattura di vendita Infanzia e Giovani</t>
  </si>
  <si>
    <t>30U0ZF</t>
  </si>
  <si>
    <t>CROCE ROSSA ITALIANA COMITATO DI CENTO-BONDENO</t>
  </si>
  <si>
    <t>IT01994310389</t>
  </si>
  <si>
    <t>ASSISTENZA SANITARIA DIURNA</t>
  </si>
  <si>
    <t>OT0AOW</t>
  </si>
  <si>
    <t>LA FUTURA S.R.L.</t>
  </si>
  <si>
    <t>IT01373390382</t>
  </si>
  <si>
    <t>materiale vario</t>
  </si>
  <si>
    <t>2D9DG3</t>
  </si>
  <si>
    <t>MATERIALE VARIO</t>
  </si>
  <si>
    <t>EXERA S.R.L.</t>
  </si>
  <si>
    <t>IT01885640381</t>
  </si>
  <si>
    <t>TRATTAMENTO ANTILARVALE CADITOIE</t>
  </si>
  <si>
    <t>3G31OT</t>
  </si>
  <si>
    <t>N</t>
  </si>
  <si>
    <t>:STORNO TOTALE FATTURA N.46 DEL 13/08/2018</t>
  </si>
  <si>
    <t>ROSSI GIAN ENRICO</t>
  </si>
  <si>
    <t>RSSGNR37M15A965L</t>
  </si>
  <si>
    <t>IT00300720380</t>
  </si>
  <si>
    <t>Lavori di riparazione del danno al palo di pubblica illuminazione n. 6603 collocato in Via per Scortichino a Bondeno in opera.</t>
  </si>
  <si>
    <t>NOTA DI CREDITO ELETTRONICA</t>
  </si>
  <si>
    <t>SYSTEM CONTROL DI RAGAZZI ERENESTO E MAU</t>
  </si>
  <si>
    <t>IT02887150361</t>
  </si>
  <si>
    <t>MANUTENZIONE ORDINARIA GRUPPO REFRIGERANTE E IMPIANTO DI VENTILAZIONE A SERVIZIO DELLA CAMERA MORTUARIA . ORDINE DI SERVIZIO N. 61040 E BOLLA N. 239/18- E ORDINE DI SERVIZIO N.6097</t>
  </si>
  <si>
    <t>ACQUA NATURA</t>
  </si>
  <si>
    <t>RMNGCR58R03D548N</t>
  </si>
  <si>
    <t>IT01813850383</t>
  </si>
  <si>
    <t>PRESTAZIONE RELATIVA AL SERVIZIO DI "GESTIONE CASE DEL- L'ACQUA" PER IL MESE DI DICEMBRE 2018</t>
  </si>
  <si>
    <t>GTYW5N</t>
  </si>
  <si>
    <t>MANUTENZIONE NATURALIZZATORE SCORTICHINO</t>
  </si>
  <si>
    <t>....NO PAGARE..... - ESSEPI IMMOBILIARE SRL</t>
  </si>
  <si>
    <t>IT01576070898</t>
  </si>
  <si>
    <t>Nostro credito per corrispettivo dal piano economico finanziario allegato B quale canone di gestione economica finanziaria I trimestre 2019</t>
  </si>
  <si>
    <t>V9H3WP</t>
  </si>
  <si>
    <t>A.S.D. POLISPORTIVA PILASTRI</t>
  </si>
  <si>
    <t>IT01270010380</t>
  </si>
  <si>
    <t>CONTRIBUTO PER GESTIONE PALESTRA DI PILASTRI ANNO 2018</t>
  </si>
  <si>
    <t>QJCH5V</t>
  </si>
  <si>
    <t>BERGAMINI AUTO S.N.C.</t>
  </si>
  <si>
    <t>IT01578470385</t>
  </si>
  <si>
    <t>Riparazione Peuheot 307 Tg. CH359HZ Cig ZA924EA857 - Capitolo di spesa 2370 impegno 2018/2599 - Determina 941 del 18/09/2018</t>
  </si>
  <si>
    <t>S.S.D. PISCINE COPERTE BONDENO</t>
  </si>
  <si>
    <t>IT01952750386</t>
  </si>
  <si>
    <t>1° CICLO DI 3 LEZIONI RIVOLTO A STUDENTI DELLE PRIME CLASSI DELLA SCUOLA SECONDARIA DI PRIMO GRADO DI BONDENO</t>
  </si>
  <si>
    <t>VANDELLI RITA</t>
  </si>
  <si>
    <t>VNDRTI64B64A965N</t>
  </si>
  <si>
    <t>IT01374950382</t>
  </si>
  <si>
    <t>professionale ovariectomia gatta di colonia</t>
  </si>
  <si>
    <t>BELTRAMI LIVIANO S.N.C. DI BELTRAMI C.E BELTRAMI E.</t>
  </si>
  <si>
    <t>IT01952810388</t>
  </si>
  <si>
    <t>LAVORI EFFETTUATI SU MOTORINO SALARINO</t>
  </si>
  <si>
    <t>PASQUALINI GLORIA</t>
  </si>
  <si>
    <t>PSQGLR68M51A965K</t>
  </si>
  <si>
    <t>IT01414070381</t>
  </si>
  <si>
    <t>Redazione APE (attestato prestazione enrgetica) "Pub dell'Ariosto" ubico in via gramsci, 301 a Stellata di bondeno</t>
  </si>
  <si>
    <t>GALLETTI DAVIDE</t>
  </si>
  <si>
    <t>GLLDVD70B01A944T</t>
  </si>
  <si>
    <t>IT01457120382</t>
  </si>
  <si>
    <t>MANUTENZIONE RENAULT TRAFIC TARGA YA720AF</t>
  </si>
  <si>
    <t>STUDIO NALDI SRL</t>
  </si>
  <si>
    <t>IT03008301206</t>
  </si>
  <si>
    <t>Predisposizione pratiche previdenziali</t>
  </si>
  <si>
    <t>2WQ9SN</t>
  </si>
  <si>
    <t>LAVORI EFFETTUATI SU AUTOVEICOLI VARI: -FIAT PUNTO TARGATA BY266HB - FIAT DUCATO TARGATA EP488YS AL NETTO DEGLI SCONTI CONCORDATI</t>
  </si>
  <si>
    <t>LAVORI EFFETTUATI SU AUTOCARRO ISUZU TARGATO CF929PY</t>
  </si>
  <si>
    <t>REVISIONE EFFETTUATA SU AUTOVEICOLO PIAGGIO PORTER TARGATO CA661VD</t>
  </si>
  <si>
    <t>G.R. BIOCHEMILAB S.R.L.</t>
  </si>
  <si>
    <t>IT03218940363</t>
  </si>
  <si>
    <t>SERVIZIO DI CAMPIONAMENTO E ANALISI ACQUA DELLE CASSETTE</t>
  </si>
  <si>
    <t>B.M. Elettronica di Lazzarini Luisa</t>
  </si>
  <si>
    <t>LZZLSU66H66I632D</t>
  </si>
  <si>
    <t>IT02312130202</t>
  </si>
  <si>
    <t>IMPEGNO N.2780 DEL 19/11/18 AFFIDAMENTO FORNITURA MATERIALE ELETTRICO-DETERMINA A CONTRARRE E CONTESTUALE AFFIDAMENTO</t>
  </si>
  <si>
    <t>FATTURA ELETTRONICA FATEL</t>
  </si>
  <si>
    <t>ROBGAS COMMERCIALE S.R.L.</t>
  </si>
  <si>
    <t>IT00135990398</t>
  </si>
  <si>
    <t>VENDITA GETTONI LAVAGGIO</t>
  </si>
  <si>
    <t>PUBBLICAZIONI EDITORIALI HEDISON S.R.L.</t>
  </si>
  <si>
    <t>IT03014230274</t>
  </si>
  <si>
    <t>Come da nostro DDT n. 101 del 13/12/2018 Bondeno una città da favola e di buona cucina</t>
  </si>
  <si>
    <t>SOCIETA' ITALIANA DEGLI AUTORI ED EDITORI</t>
  </si>
  <si>
    <t>IT00987061009</t>
  </si>
  <si>
    <t>CONCERTI/SPETTACOLI DI MUSICA LEGGERA</t>
  </si>
  <si>
    <t>Diritti amministrativi di procedura</t>
  </si>
  <si>
    <t>MANUTENZIONE RANGER TARGA DR802JL</t>
  </si>
  <si>
    <t>MANUTENZIONE TRAFFIC TARGA YA721AF</t>
  </si>
  <si>
    <t>MANUTENZIONE FIAT SEDICI TARGA YA583AE</t>
  </si>
  <si>
    <t>FUTURA SOC. CONSORTILE A RESP. LIMITATA</t>
  </si>
  <si>
    <t>IT01748791207</t>
  </si>
  <si>
    <t>CORSO DI AGGIORNAMENTO IN MATERIA DI PERSONALE</t>
  </si>
  <si>
    <t>IAL EMILIA ROMAGNA</t>
  </si>
  <si>
    <t>IT04191290370</t>
  </si>
  <si>
    <t>ATTIVAZIONE TIROCINI DI TIPO D</t>
  </si>
  <si>
    <t>EDICOLA PIU' DI PASSARELLI RAFFAELLA</t>
  </si>
  <si>
    <t>PSSRFL70C63D548S</t>
  </si>
  <si>
    <t>IT01577320383</t>
  </si>
  <si>
    <t>TESTI SCOLASTICI</t>
  </si>
  <si>
    <t>Compenso professionale per ovariectomie</t>
  </si>
  <si>
    <t>BONDENO UFFICIO S.N.C.</t>
  </si>
  <si>
    <t>IT01673230387</t>
  </si>
  <si>
    <t>SILLA SAS DI MATTEI &amp; C.</t>
  </si>
  <si>
    <t>IT00040220386</t>
  </si>
  <si>
    <t>MAPEI QUARZOLITE BASE</t>
  </si>
  <si>
    <t>RESIDENZA CATERINA SRL - CASA PROTETTA</t>
  </si>
  <si>
    <t>IT01226650388</t>
  </si>
  <si>
    <t>integrazione retta per ricovero novembre</t>
  </si>
  <si>
    <t>ESTECOM SRL</t>
  </si>
  <si>
    <t>IT01524850383</t>
  </si>
  <si>
    <t>VENDITA SERVER IBM X3650M4 KD9F3CB FINE</t>
  </si>
  <si>
    <t>XXGEMW</t>
  </si>
  <si>
    <t>GENERAZIONI SOC. COOP. SOCIALE ONLUS</t>
  </si>
  <si>
    <t>IT02690880402</t>
  </si>
  <si>
    <t>SERVIZIO DI MANTENIMENTO E INSERIMENTO EDUCATIVO PRESSO LA NOSTRA STRUTTURA, MESE DI NOVEMBRE 2018</t>
  </si>
  <si>
    <t>FONDAZIONE SAN SALVATORE</t>
  </si>
  <si>
    <t>IT01209290293</t>
  </si>
  <si>
    <t>Integrazione Retta Mese di NOVEMBRE 2018</t>
  </si>
  <si>
    <t>SAPIDATA SRL</t>
  </si>
  <si>
    <t>ELABORAZ.DATI SERV FACILITY PEC</t>
  </si>
  <si>
    <t>VENDITA</t>
  </si>
  <si>
    <t>LIDI GROUP S.R.L.</t>
  </si>
  <si>
    <t>IT01663010385</t>
  </si>
  <si>
    <t>MATERIALE CUCINA ASILO NIDO</t>
  </si>
  <si>
    <t>LA VALLE TRASPORTI SRL</t>
  </si>
  <si>
    <t>IT01737200384</t>
  </si>
  <si>
    <t>SERVIZIO DI TRASPORTO DISABILI dal 05/11/2018 al 30/11/2018 / Noleggio n° 106245</t>
  </si>
  <si>
    <t>Fattura per Rimborso Spese Procedura EMO su Pagati a EMO - Relazione del 30/11/2018</t>
  </si>
  <si>
    <t>Fattura Corrispettivi su PT - Relazione del 30/11/2018</t>
  </si>
  <si>
    <t>ENI S.P.A. ADFIN</t>
  </si>
  <si>
    <t>IT00905811006</t>
  </si>
  <si>
    <t>CARBURANTE MESE DI NOVEMBRE 2018</t>
  </si>
  <si>
    <t>SPESE BOLLI CARBURANTE MESE DI NOVEMBRE 2018</t>
  </si>
  <si>
    <t>MD07LT</t>
  </si>
  <si>
    <t>5KZS24</t>
  </si>
  <si>
    <t>SOLIDARIETA' INTRAPRESA SOC.COOP.SOCIALE</t>
  </si>
  <si>
    <t>IT01913040406</t>
  </si>
  <si>
    <t>retta</t>
  </si>
  <si>
    <t>TABACCHERIA DI MANTOVANI MATTIA</t>
  </si>
  <si>
    <t>MNTMTT91M08D548G</t>
  </si>
  <si>
    <t>IT02000370383</t>
  </si>
  <si>
    <t>SOCIETA' COOPERATIVA SCU.TER - SCUOLA TERRITORIO S.C.S.</t>
  </si>
  <si>
    <t>IT03699741207</t>
  </si>
  <si>
    <t>SERVIZIO INTEGRAZIONE ALUNNI DISABILI</t>
  </si>
  <si>
    <t>BELLUCCI SPA</t>
  </si>
  <si>
    <t>IT02044780019</t>
  </si>
  <si>
    <t>Acer TM p2510M Win10 -Options incluse</t>
  </si>
  <si>
    <t>2F8EI4</t>
  </si>
  <si>
    <t>FINBIETICOLA BONDENO SRL</t>
  </si>
  <si>
    <t>IT02866231208</t>
  </si>
  <si>
    <t>Ft Split Payment ex art.17-ter DPR 633/72</t>
  </si>
  <si>
    <t>SCARPE SPARCO PRACTICE</t>
  </si>
  <si>
    <t>ONORATI GIULIANO</t>
  </si>
  <si>
    <t>NRTGLN70S04A944Q</t>
  </si>
  <si>
    <t>IT01860150380</t>
  </si>
  <si>
    <t>OK31AM</t>
  </si>
  <si>
    <t>FALLIMENTO N. 10/2019 SECURPOL S.R.L</t>
  </si>
  <si>
    <t>IT00479740383</t>
  </si>
  <si>
    <t>COLLEGAMENTO RADIO</t>
  </si>
  <si>
    <t>BOLLO PER CARBURANTI OTTOBRE 2018</t>
  </si>
  <si>
    <t>CARBURANTE MESE DI OTTOBRE 2018</t>
  </si>
  <si>
    <t>MULTICOPIA E ARREDA UFFICIO SRL</t>
  </si>
  <si>
    <t>IT01564380382</t>
  </si>
  <si>
    <t>ADATTATORE USB - PORTA PARALLELA 36 POLI</t>
  </si>
  <si>
    <t>CONTRATTO AD ORE INFORMATICO PER 50 ORE</t>
  </si>
  <si>
    <t>UNIMATICA SPA</t>
  </si>
  <si>
    <t>IT02098391200</t>
  </si>
  <si>
    <t>UNIOPI-FE-30M-SIOPE+ Servizio UniOpi-SIOPE+ e conservazione a norma degli ordinativi informatici</t>
  </si>
  <si>
    <t>LA COCCINELLA DI CRISTINA MARINI</t>
  </si>
  <si>
    <t>MRNCST78E65A965Z</t>
  </si>
  <si>
    <t>IT01533360291</t>
  </si>
  <si>
    <t>Storno totale fattura n. 1PA-2018 del 13/04/2018 PER ERRATA FATTURAZIONE</t>
  </si>
  <si>
    <t>CECCHELANI MARCO</t>
  </si>
  <si>
    <t>CCCMRC71H15C219I</t>
  </si>
  <si>
    <t>IT02034330353</t>
  </si>
  <si>
    <t>Nota di credito per errata fatturazione riferita alla fattura FATTPA 5_18 del 19/06/2018</t>
  </si>
  <si>
    <t>EDISON ENERGIA S.P.A</t>
  </si>
  <si>
    <t>IT08526440154</t>
  </si>
  <si>
    <t>ENERGIA ELETTRICA SETTEMBRE 2018 PATRIMONIO</t>
  </si>
  <si>
    <t>SOENERGY S.R.L.</t>
  </si>
  <si>
    <t>IT01565370382</t>
  </si>
  <si>
    <t>FORNITURA GAS SETT.2018 POLIZIA MUNICIPALE</t>
  </si>
  <si>
    <t>FORNITURA GAS SETT.2018 PINACOTECA COMUNALE</t>
  </si>
  <si>
    <t>FORNITURA GAS SETT.2018 EX CENTRO IMPIEGO</t>
  </si>
  <si>
    <t>FORNITURA GAS SETT.2018 SERVIZI SOCIALI SEDE ASS.NI</t>
  </si>
  <si>
    <t>FORNITURA GAS SETT.2018 VILLETTE APP.UOMINI SOTTO</t>
  </si>
  <si>
    <t>FORNITURA GAS SETT.2018 VV.FF.</t>
  </si>
  <si>
    <t>**********E-DISTRIBUZIONE S.P.A. ALLACCIAMENTI</t>
  </si>
  <si>
    <t>IT15844561009</t>
  </si>
  <si>
    <t>TLP3QA</t>
  </si>
  <si>
    <t>OP ARCHIDIOC PRESERV FEDE E RELIGIONE</t>
  </si>
  <si>
    <t>IT01059820389</t>
  </si>
  <si>
    <t>INTEGRAZIONE RETTA PER RICOVERO PRESSO CASA RESIDENZA ANZIANI</t>
  </si>
  <si>
    <t>SAL CONSULTING SRL</t>
  </si>
  <si>
    <t>IT01544360389</t>
  </si>
  <si>
    <t>Corso di aggiornamento riservato agli addetti al primo soccorso</t>
  </si>
  <si>
    <t>HERA S.P.A.</t>
  </si>
  <si>
    <t>IT03819031208</t>
  </si>
  <si>
    <t>FORNITURA SERVIZIO ACQUA CIMITERO BONDENO</t>
  </si>
  <si>
    <t>INRETE DISTRIBUZIONE ENERGIA S.P.A.</t>
  </si>
  <si>
    <t>Ordine 19739653 - Gas - Prestazioni a forfait o altre spese o allacciamento VIA GRANATIERI DI SARDEGNA 20 44012 BONDENO</t>
  </si>
  <si>
    <t>FORNITURA SERVIZIO ACQUA CIMITERO SALVATONICA LUG-AGO 2018</t>
  </si>
  <si>
    <t>FORNITURA GAS AGOSTO 2018 MUNICIPIO</t>
  </si>
  <si>
    <t>FORNITURA GAS AGOSTO 2018 POLIZIA MUNICIPALE</t>
  </si>
  <si>
    <t>FORNITURA GAS AGOSTO 2018 CENTRO CULTURALE 2000</t>
  </si>
  <si>
    <t>FORNITURA GAS AGOSTO 2018 BIBLIOTECA COMUNALE</t>
  </si>
  <si>
    <t>FORNITURA GAS AGOSTO 2018 ASILO NIDO</t>
  </si>
  <si>
    <t>FORNITURA GAS AGOSTO 2018 PALESTRA MANZONI</t>
  </si>
  <si>
    <t>FORNITURA GAS AGOSTO 2018 SCUOLA MATERNA BONDENO</t>
  </si>
  <si>
    <t>FORNITURA GAS AGOSTO 2018 VVFF</t>
  </si>
  <si>
    <t>IN CAMMINO A R.L. COOPERATIVA SOCIALE</t>
  </si>
  <si>
    <t>IT00915090393</t>
  </si>
  <si>
    <t>NOTA ACCR. CLIENTE BONDENO</t>
  </si>
  <si>
    <t>UTENSILERIA BONDENESE S.R.L.</t>
  </si>
  <si>
    <t>IT01181090380</t>
  </si>
  <si>
    <t>DURACELL ULTRA AAA 4 PILE MINISTILO</t>
  </si>
  <si>
    <t>ACCORSI RICCARDO</t>
  </si>
  <si>
    <t>CCRRCR60D28D548G</t>
  </si>
  <si>
    <t>IT01593770389</t>
  </si>
  <si>
    <t>COMPENSO PER LA PARTECIPAZIONE AI LAVORI DELLA COMMISSIONE COMUNALE DI VIGILANZA LOCALI DI PUBBLICO SPETTACOLO. BUNDAN CELTIC FESTIVAL</t>
  </si>
  <si>
    <t>A.C.E.R.AZIENDA CASA EMILIA ROMAGNA</t>
  </si>
  <si>
    <t>IT00051510386</t>
  </si>
  <si>
    <t>COMPENSO SERVIZIO CASA ANNO 2018</t>
  </si>
  <si>
    <t>COMPENSO SPORTELLO CASA ANNO 2018.</t>
  </si>
  <si>
    <t>TRATTAMENTO CADITOIE STRADALI CON PRODOTTO LARVICIDA INTERVENTO DEL 02-03-04/08</t>
  </si>
  <si>
    <t>FORNITURA GAS SEDE ASSOCIAZIONI LUG 2018</t>
  </si>
  <si>
    <t>MIGROSS S.P.A.</t>
  </si>
  <si>
    <t>IT00858310238</t>
  </si>
  <si>
    <t>ALIMENTARI VARI</t>
  </si>
  <si>
    <t>DOR TUTELATO TEATRO</t>
  </si>
  <si>
    <t>ILMET SRL</t>
  </si>
  <si>
    <t>IT00271420200</t>
  </si>
  <si>
    <t>LAVORI DI MANUTENZIONE STRAORDINARIA DI VIA FIENIL DEL VENTO E DEMOLIZIONE/RIFACIMENTO DI ALCUNE CADITOIE IN VIA PIRONI E PIAZZALE DELLE BONIFICHE IN BONDENO CAPOLUOGO</t>
  </si>
  <si>
    <t>FORNITURA DI MATERIALE LAPIDEO E CONGLOMERATO BITUMINOSO PER LA MANUTENZIONE ORDINARIA DELLE STRADE COMUNALI ANNO 2017</t>
  </si>
  <si>
    <t>FORNITURA GAS 2018 VILLETTE RESIDENZA UOMINI APPARTAMENTO SOTTO</t>
  </si>
  <si>
    <t>ASILO NIDO</t>
  </si>
  <si>
    <t>HJGB1Z</t>
  </si>
  <si>
    <t>COOPERATIVA SOCIALE CAMELOT</t>
  </si>
  <si>
    <t>IT01473160388</t>
  </si>
  <si>
    <t>SERVIZIO DI ASSISTENZA/TUTTORAGGIO A FAVORE DI UTENTI DEL SERVIZIO SOCIALE</t>
  </si>
  <si>
    <t>DIAFRAMMA S.R.L</t>
  </si>
  <si>
    <t>IT02246230375</t>
  </si>
  <si>
    <t>RIMBORSO PER MANCATA ATTIVAZIONE DEGLI ABBONAMENTI DI SEGUITO ELENCATI E GIA' ADDEBITATI CON NS FT.10445P DEL 07.12.2017</t>
  </si>
  <si>
    <t>M0UKJP</t>
  </si>
  <si>
    <t>AFFIDAMENTO INCARICO PROFESSIONALE PER LA REDAZIONE DI PERIZIA SUPPLETIVA E DI VARIANTE PER L'INTERVENTO DI COSTRUZIONE DEGLI ALLOGGI ERP NEL QUARTIERE DEL SOLE</t>
  </si>
  <si>
    <t>RDP 1445-1446-1447-1448-1449-1450</t>
  </si>
  <si>
    <t>FORNITURA GAS ASS.NE ANPI MAG 2018</t>
  </si>
  <si>
    <t>FORNITURA PASTI A DOMICILIO QUOTA A CARICO DEL COMUNE DI BONDENO MAGGIO 2018</t>
  </si>
  <si>
    <t>E-DISTRIBUZIONE SPA</t>
  </si>
  <si>
    <t>IT05779711000</t>
  </si>
  <si>
    <t>IMPORTO SPOSTAMENTO IMPIANTO MT</t>
  </si>
  <si>
    <t>ENEL ENERGIA S.P.A. (PER EN. ELETTRICA)</t>
  </si>
  <si>
    <t>IT06655971007</t>
  </si>
  <si>
    <t>RESTITUZIONE VINCOLO ENERGIA ELETTRICA</t>
  </si>
  <si>
    <t>UFTUKP</t>
  </si>
  <si>
    <t>.</t>
  </si>
  <si>
    <t>RUBERTO FELICE</t>
  </si>
  <si>
    <t>RBRFLC66H10L273U</t>
  </si>
  <si>
    <t>IT02954790248</t>
  </si>
  <si>
    <t>VISITA CONFERMA ABILITAZIONE GUIDA DRONE</t>
  </si>
  <si>
    <t>non puo' essere pagata per durc irregolare COLLEGAMENTO VIA RADIO COMPUTERIZZATO</t>
  </si>
  <si>
    <t>FORNITURA SERVIZIO ACQUA 1^ BIMESTRE 2018 PALAZZO MOSTI PILASTRI</t>
  </si>
  <si>
    <t>AZIENDA U.S.L. DI FERRARA</t>
  </si>
  <si>
    <t>IT01295960387</t>
  </si>
  <si>
    <t>STORNO TOTALE FATTURA 131/639 DEL 15.12.16</t>
  </si>
  <si>
    <t>ADDEBITO INAIL VERSATA PER VOSTRO CONTO PER ATTIVAZIONE TIROCINI 2017</t>
  </si>
  <si>
    <t>LAVORI DI MANUTENZIONE STRAORDINARIA DI VIA FIENIL DEL VENTO E DEMOLIZIONE/RIFACIMENTO DI ALCUNE CADITOIE IN VIA PIRONI E PIAZZALE DELLE BONIFICHE IN BONDENO CAPOLUOGO.</t>
  </si>
  <si>
    <t>I MIGLIORI ANNI SRL</t>
  </si>
  <si>
    <t>IT02767290352</t>
  </si>
  <si>
    <t>NOTA DI CREDITO A STORNO FATTURA N 1/E DEL 30/11/2017 SERVIZIO ALLOGGIO MASINI GIORGIO DA APRILE A DICEMBRE 2017 PRESSO I MIGLIORI ANNI SRL CASUMARO</t>
  </si>
  <si>
    <t>HERA COMM. s.p.a.</t>
  </si>
  <si>
    <t>FORNITURA SERVIZIO GAS</t>
  </si>
  <si>
    <t>FORNITURA SERVIZIO ACQUA IAL NOV-DIC 2017</t>
  </si>
  <si>
    <t>FORNITURA SERVIZIO ACQUA CASA ARIOSTO NOV-DIC 2017</t>
  </si>
  <si>
    <t>CIDAS COOP. SOCIALE A R.L. O.N.L.U.S.</t>
  </si>
  <si>
    <t>IT00463980383</t>
  </si>
  <si>
    <t>CONTRATTO DI SERVIZIO PRESTAZIONI SOCIO-SANITARIE EFFETTUATE PRESSO IL CENTRO RESIDENZIALE FIORANA DI ARGENTA MESE DI OTTOBRE 2017</t>
  </si>
  <si>
    <t>GALA ENERGIA PULITA S.P.A.</t>
  </si>
  <si>
    <t>IT06832931007</t>
  </si>
  <si>
    <t>NOTA PER INSTALLAZIONE IMPIANTO</t>
  </si>
  <si>
    <t>INSTALLAZIONE NUOVO IMPIANTO</t>
  </si>
  <si>
    <t>FONDAZIONE FILIPPO MANTOVANI</t>
  </si>
  <si>
    <t>IT00131610388</t>
  </si>
  <si>
    <t>ANNULLAMENTO NS.FATT. 249/E DEL 12/09/2017</t>
  </si>
  <si>
    <t>FORNITURA EN.ELETTRICA CENTRO 2000 AGO 2017</t>
  </si>
  <si>
    <t>TIM - TELECOM ITALIA S.P.A.</t>
  </si>
  <si>
    <t>IT00488410010</t>
  </si>
  <si>
    <t>5BIM 2017</t>
  </si>
  <si>
    <t>FORNITURA GAS SCUOLA ELEMENTARE STELLATA LUG 2017</t>
  </si>
  <si>
    <t>FORNITURA SERVIZIO ACQUA MAG - GIU 2017 PALAZZO MOSTI PILASTRI</t>
  </si>
  <si>
    <t>FORNITURA SERVIZIO ACQUA MAG - GIU 2017 CENTRO PER L'IMPIEGO</t>
  </si>
  <si>
    <t>FORNITURA SERVIZIO ACQUA MAG - GIU 2017 VILLETTE RESIDENZA DONNE</t>
  </si>
  <si>
    <t>ANCORA SERVIZI SOCIETA' COOP. SOCIALE</t>
  </si>
  <si>
    <t>IT04201270370</t>
  </si>
  <si>
    <t>RESTAZIONI PER CONTROLLI GEOTECNICI RELATIVI ALLA COSTRUZIONE DELLA NUOVA STRADA DI COLLEGAMENTO CON PONTE BORGO SCALA- BONDENO CAPOLUOGO</t>
  </si>
  <si>
    <t>CONTRATTO DI SERVIZIO PRESTAZIONI SOCIO-SANITARIE EFFETTUATE PRESSO IL CENTRO RESIDENZIALE FIORANA DI ARGENTA COMUNE DI CODIGORO MESE DI MARZO 2017</t>
  </si>
  <si>
    <t>FORNITURA SERVIZIO ACQUA</t>
  </si>
  <si>
    <t>PRESTAZIONI SOCIO-SANITARIE EFFETTUATE PRESSO IL CENTRO RESIDENZIALE FIORANAMESE DI FEBBRAIO 2017 .</t>
  </si>
  <si>
    <t>SERVIZIO ELETTRICO NAZIONALE SPA</t>
  </si>
  <si>
    <t>2BIM 2017 ADSL BIBLIOTECA NUMERO VECCHIO</t>
  </si>
  <si>
    <t>GAS EX SCUOLA ELEMENTARE SCORTICHINO DIC 2016</t>
  </si>
  <si>
    <t>GAS EX SCUOLE ELEMENTARI SCORTICHINO DIC</t>
  </si>
  <si>
    <t>BALBO EMANUELA</t>
  </si>
  <si>
    <t>BLBMNL69S70L359M</t>
  </si>
  <si>
    <t>IT01225180296</t>
  </si>
  <si>
    <t>LIBRI SCOLASTICI</t>
  </si>
  <si>
    <t>E.S.A. SRL</t>
  </si>
  <si>
    <t>IT03246871200</t>
  </si>
  <si>
    <t>MANUTENZIONE STRAORDINARIA</t>
  </si>
  <si>
    <t>ATTIVITA DELLA PSICOLOGA DELLO SPORTELLO DI BONDENO E DEGLI INTERVENTI DI PREVENZIONE NEGLI ISTITUTI SCOLASTICI DEL DISTRETTO OVEST PERIODO LUGLIO-NOVEMBRE 2016</t>
  </si>
  <si>
    <t>ENEL ENERGIA SPA - FORNITURA GAS</t>
  </si>
  <si>
    <t>TRASPORTO CONGUAGLI MESI PRECEDENTI</t>
  </si>
  <si>
    <t>FONDAZIONE BRAGHINI ROSSETTI</t>
  </si>
  <si>
    <t>IT00395350382</t>
  </si>
  <si>
    <t>INTEGRAZIONE RETTA</t>
  </si>
  <si>
    <t>ASSOCIAZIONE TARTUFAI BONDENO AL RAMIOL</t>
  </si>
  <si>
    <t>IT01623130380</t>
  </si>
  <si>
    <t>LIQ. CONTRIBUTO PER REALIZZAZIONE SAGRA DEL TARTUFO 2016 - 70 PER CENTO</t>
  </si>
  <si>
    <t>GAS ASS.NE ANPI CONG A AGO 2016</t>
  </si>
  <si>
    <t>GAS ASS.NE ANPI SETT 2016</t>
  </si>
  <si>
    <t>GAS OFFICINA COMUNALE CONG A AGO 2016</t>
  </si>
  <si>
    <t>GAS VV.FF. CONGUAGLIO A AGOSTO 2016</t>
  </si>
  <si>
    <t>GAS ASS.NE ANPI SETT2016</t>
  </si>
  <si>
    <t>GAS EX CENTRO IMPIEGO SETT.2016</t>
  </si>
  <si>
    <t>GAS SERVIZI SOCIALI - SEDE ASS.NI SETT.2016</t>
  </si>
  <si>
    <t>GAS POLIZIA MUNICIPALE SETT 2016</t>
  </si>
  <si>
    <t>GAS PALESTRA MANZONI SETT 2016</t>
  </si>
  <si>
    <t>GAS MUSEI E MOSTRE SETT 2016</t>
  </si>
  <si>
    <t>TELECOM 6^BIM 2016 CENTRALINO SCUOLA MEDIA</t>
  </si>
  <si>
    <t>TELECOM 6^BIM 2016 SEGRETERIA SCUOLA ELEMENTARE BONDENO</t>
  </si>
  <si>
    <t>TELEFONIA FISSA SCUOLA ELEMENTARE BONDENO ADSL 5^ BIM 2016</t>
  </si>
  <si>
    <t>TIM - TELECOM ITALIA SPA</t>
  </si>
  <si>
    <t>4BIM 2015</t>
  </si>
  <si>
    <t>5BIM 2015</t>
  </si>
  <si>
    <t>6BIM 2015</t>
  </si>
  <si>
    <t>1BIM 2016</t>
  </si>
  <si>
    <t>2BIM 2016</t>
  </si>
  <si>
    <t>3BIM 2016</t>
  </si>
  <si>
    <t>4BIM 2016</t>
  </si>
  <si>
    <t>MISCO SYSTEMAX ITALY S.R.L.</t>
  </si>
  <si>
    <t>IT08376630151</t>
  </si>
  <si>
    <t>HP 8100 ELITE CORE I5 650/250GB/4GB/DVD/W7P/SFF</t>
  </si>
  <si>
    <t>CONTRATTO DI SERVIZIO PRESTAZIONI SOCIO-SANITARIE EFFETTUATE PRESSO IL CENTRO RESIDENZIALE FIORANA MESE DI GIUGNO 2016</t>
  </si>
  <si>
    <t>COPERCHIO CEM. BOTOLA 70X70 EST. SCISSIONE DEI PAGAMENTI AI SENSI ART.17-TER DPR 633/1972 QUANTITA': 1</t>
  </si>
  <si>
    <t>1G9PNT</t>
  </si>
  <si>
    <t>4^ BIMESTRE 2016, ADSL SCUOLA ELEMENTARE VECCHIA</t>
  </si>
  <si>
    <t>3^ BIMESTRE 2016 DSL SCUOLA ELEMENTARE</t>
  </si>
  <si>
    <t>COOP ESTENSE SC A RL</t>
  </si>
  <si>
    <t>IT00162660369</t>
  </si>
  <si>
    <t>CEDOLE LIBRARIE SMILEYS</t>
  </si>
  <si>
    <t>1^ BIM 2016 ADSL SCUOLA ELEMENTARE BONDENO</t>
  </si>
  <si>
    <t>AIR LIQUIDE ITALIA S.R.L.</t>
  </si>
  <si>
    <t>IT03270040961</t>
  </si>
  <si>
    <t>RIF. FATTURA 1920001804 DEL 31/10/2015</t>
  </si>
  <si>
    <t>ENEL DISTRIBUZIONE SPA ZONA DI FERRARA</t>
  </si>
  <si>
    <t>CONTRIBUTI A FORFAIT DA CONNESSIONI BT</t>
  </si>
  <si>
    <t>CARTOLIBRERIA EXCELSIOR DI REAMI</t>
  </si>
  <si>
    <t>IT02073190361</t>
  </si>
  <si>
    <t>SERVIZIO TELEFONIA MFISSA 6^ BIMESTRE 2015, ADSL BIBLIOTECA</t>
  </si>
  <si>
    <t>TELEFONIA FISSA 6^ BIMESTRE 2015, ADSL SCUOLA ELEMENTARE</t>
  </si>
  <si>
    <t>LIBERTY 2 MB BMG 1024* 16 LUGLIO 15 - 31 OTTOBRE 15</t>
  </si>
  <si>
    <t>ALICE BUSINESS 2M LARGE 512 F* 14 LUGLIO 15 - 31 OTTOBRE 15</t>
  </si>
  <si>
    <t>FORNITURA GAS SERVIZI ASSISTENZIALI</t>
  </si>
  <si>
    <t>FORNITURA GAS VILLETTE USL VIA FERMI 40</t>
  </si>
  <si>
    <t>GAS VILLETTE USL VIA FERMI 40</t>
  </si>
  <si>
    <t>GAS VILLETTE VIA FERMI 40</t>
  </si>
  <si>
    <t>FATTURAZIONE RETTE PER DEGENZA IN CASA PROTETTA QUOTA A CARICO DEL COMUNE DI BONDENO GG 31 DI PRESENZA</t>
  </si>
  <si>
    <t>FATTURA VENDITA BONDENO</t>
  </si>
  <si>
    <t>FORNITURA EN. GAS DICEMBRE 2014 IAL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</si>
</sst>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77"/>
  <sheetViews>
    <sheetView showGridLines="0" tabSelected="1" topLeftCell="E350" workbookViewId="0">
      <selection activeCell="M377" sqref="M377"/>
    </sheetView>
  </sheetViews>
  <sheetFormatPr defaultRowHeight="1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20.42578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>
      <c r="A1" s="1" t="s">
        <v>0</v>
      </c>
      <c r="B1" s="2">
        <v>0.44599537037037035</v>
      </c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>
      <c r="A3" s="4" t="s">
        <v>17</v>
      </c>
      <c r="B3" s="5">
        <v>43465</v>
      </c>
      <c r="C3" s="4" t="str">
        <f>"FATTPA 3_18"</f>
        <v>FATTPA 3_18</v>
      </c>
      <c r="D3" s="4">
        <v>137378165</v>
      </c>
      <c r="E3" s="5">
        <v>43465</v>
      </c>
      <c r="F3" s="4">
        <v>5166</v>
      </c>
      <c r="G3" s="4">
        <v>3196</v>
      </c>
      <c r="H3" s="4" t="s">
        <v>18</v>
      </c>
      <c r="I3" s="4">
        <v>1444510380</v>
      </c>
      <c r="J3" s="4" t="s">
        <v>19</v>
      </c>
      <c r="K3" s="4" t="s">
        <v>20</v>
      </c>
      <c r="L3" s="4">
        <v>55.02</v>
      </c>
      <c r="M3" s="4">
        <v>45.1</v>
      </c>
      <c r="N3" s="5">
        <v>43465</v>
      </c>
      <c r="O3" s="5">
        <v>43495</v>
      </c>
      <c r="P3" s="4" t="s">
        <v>21</v>
      </c>
    </row>
    <row r="4" spans="1:16">
      <c r="A4" s="4" t="s">
        <v>17</v>
      </c>
      <c r="B4" s="5">
        <v>43465</v>
      </c>
      <c r="C4" s="4" t="str">
        <f>"FATTPA 4_18"</f>
        <v>FATTPA 4_18</v>
      </c>
      <c r="D4" s="4">
        <v>137378308</v>
      </c>
      <c r="E4" s="5">
        <v>43465</v>
      </c>
      <c r="F4" s="4">
        <v>5169</v>
      </c>
      <c r="G4" s="4">
        <v>3196</v>
      </c>
      <c r="H4" s="4" t="s">
        <v>18</v>
      </c>
      <c r="I4" s="4">
        <v>1444510380</v>
      </c>
      <c r="J4" s="4" t="s">
        <v>19</v>
      </c>
      <c r="K4" s="4" t="s">
        <v>22</v>
      </c>
      <c r="L4" s="4">
        <v>229.99</v>
      </c>
      <c r="M4" s="4">
        <v>188.52</v>
      </c>
      <c r="N4" s="5">
        <v>43465</v>
      </c>
      <c r="O4" s="5">
        <v>43495</v>
      </c>
      <c r="P4" s="4" t="s">
        <v>21</v>
      </c>
    </row>
    <row r="5" spans="1:16">
      <c r="A5" s="4" t="s">
        <v>17</v>
      </c>
      <c r="B5" s="5">
        <v>43465</v>
      </c>
      <c r="C5" s="4" t="str">
        <f>"FATTPA 5_18"</f>
        <v>FATTPA 5_18</v>
      </c>
      <c r="D5" s="4">
        <v>137378497</v>
      </c>
      <c r="E5" s="5">
        <v>43465</v>
      </c>
      <c r="F5" s="4">
        <v>5168</v>
      </c>
      <c r="G5" s="4">
        <v>3196</v>
      </c>
      <c r="H5" s="4" t="s">
        <v>18</v>
      </c>
      <c r="I5" s="4">
        <v>1444510380</v>
      </c>
      <c r="J5" s="4" t="s">
        <v>19</v>
      </c>
      <c r="K5" s="4" t="s">
        <v>23</v>
      </c>
      <c r="L5" s="4">
        <v>349.99</v>
      </c>
      <c r="M5" s="4">
        <v>286.88</v>
      </c>
      <c r="N5" s="5">
        <v>43465</v>
      </c>
      <c r="O5" s="5">
        <v>43495</v>
      </c>
      <c r="P5" s="4" t="s">
        <v>21</v>
      </c>
    </row>
    <row r="6" spans="1:16">
      <c r="A6" s="4" t="s">
        <v>17</v>
      </c>
      <c r="B6" s="5">
        <v>43465</v>
      </c>
      <c r="C6" s="4" t="str">
        <f>"8499E"</f>
        <v>8499E</v>
      </c>
      <c r="D6" s="4">
        <v>195785621</v>
      </c>
      <c r="E6" s="5">
        <v>43488</v>
      </c>
      <c r="F6" s="4">
        <v>144</v>
      </c>
      <c r="G6" s="4">
        <v>7796</v>
      </c>
      <c r="H6" s="4" t="s">
        <v>24</v>
      </c>
      <c r="I6" s="4">
        <v>4105740486</v>
      </c>
      <c r="J6" s="4" t="s">
        <v>25</v>
      </c>
      <c r="K6" s="4" t="s">
        <v>26</v>
      </c>
      <c r="L6" s="4">
        <v>35.17</v>
      </c>
      <c r="M6" s="4">
        <v>35.17</v>
      </c>
      <c r="N6" s="5">
        <v>43465</v>
      </c>
      <c r="O6" s="5">
        <v>43510</v>
      </c>
      <c r="P6" s="4" t="s">
        <v>21</v>
      </c>
    </row>
    <row r="7" spans="1:16">
      <c r="A7" s="4" t="s">
        <v>17</v>
      </c>
      <c r="B7" s="5">
        <v>43465</v>
      </c>
      <c r="C7" s="4" t="str">
        <f>"8500E"</f>
        <v>8500E</v>
      </c>
      <c r="D7" s="4">
        <v>195810206</v>
      </c>
      <c r="E7" s="5">
        <v>43488</v>
      </c>
      <c r="F7" s="4">
        <v>145</v>
      </c>
      <c r="G7" s="4">
        <v>7796</v>
      </c>
      <c r="H7" s="4" t="s">
        <v>24</v>
      </c>
      <c r="I7" s="4">
        <v>4105740486</v>
      </c>
      <c r="J7" s="4" t="s">
        <v>25</v>
      </c>
      <c r="K7" s="4" t="s">
        <v>27</v>
      </c>
      <c r="L7" s="4">
        <v>76.23</v>
      </c>
      <c r="M7" s="4">
        <v>76.23</v>
      </c>
      <c r="N7" s="5">
        <v>43465</v>
      </c>
      <c r="O7" s="5">
        <v>43510</v>
      </c>
      <c r="P7" s="4" t="s">
        <v>21</v>
      </c>
    </row>
    <row r="8" spans="1:16">
      <c r="A8" s="4" t="s">
        <v>17</v>
      </c>
      <c r="B8" s="5">
        <v>43465</v>
      </c>
      <c r="C8" s="4" t="str">
        <f>"836/IEG"</f>
        <v>836/IEG</v>
      </c>
      <c r="D8" s="4">
        <v>142957553</v>
      </c>
      <c r="E8" s="5">
        <v>43475</v>
      </c>
      <c r="F8" s="4">
        <v>24</v>
      </c>
      <c r="G8" s="4">
        <v>8301</v>
      </c>
      <c r="H8" s="4" t="s">
        <v>28</v>
      </c>
      <c r="I8" s="4">
        <v>2410141200</v>
      </c>
      <c r="J8" s="4" t="s">
        <v>29</v>
      </c>
      <c r="K8" s="4" t="s">
        <v>30</v>
      </c>
      <c r="L8" s="6">
        <v>14999.25</v>
      </c>
      <c r="M8" s="6">
        <v>14285</v>
      </c>
      <c r="N8" s="5">
        <v>43465</v>
      </c>
      <c r="O8" s="5">
        <v>43487</v>
      </c>
      <c r="P8" s="4" t="s">
        <v>31</v>
      </c>
    </row>
    <row r="9" spans="1:16">
      <c r="A9" s="4" t="s">
        <v>17</v>
      </c>
      <c r="B9" s="5">
        <v>43465</v>
      </c>
      <c r="C9" s="4" t="str">
        <f>"FATTPA 20_18"</f>
        <v>FATTPA 20_18</v>
      </c>
      <c r="D9" s="4">
        <v>144231468</v>
      </c>
      <c r="E9" s="5">
        <v>43475</v>
      </c>
      <c r="F9" s="4">
        <v>44</v>
      </c>
      <c r="G9" s="4">
        <v>108153</v>
      </c>
      <c r="H9" s="4" t="s">
        <v>32</v>
      </c>
      <c r="I9" s="4">
        <v>1994310389</v>
      </c>
      <c r="J9" s="4" t="s">
        <v>33</v>
      </c>
      <c r="K9" s="4" t="s">
        <v>34</v>
      </c>
      <c r="L9" s="4">
        <v>270</v>
      </c>
      <c r="M9" s="4">
        <v>270</v>
      </c>
      <c r="N9" s="5">
        <v>43465</v>
      </c>
      <c r="O9" s="5">
        <v>43487</v>
      </c>
      <c r="P9" s="4" t="s">
        <v>35</v>
      </c>
    </row>
    <row r="10" spans="1:16">
      <c r="A10" s="4" t="s">
        <v>17</v>
      </c>
      <c r="B10" s="5">
        <v>43457</v>
      </c>
      <c r="C10" s="4" t="str">
        <f>"158/EL"</f>
        <v>158/EL</v>
      </c>
      <c r="D10" s="4">
        <v>135835716</v>
      </c>
      <c r="E10" s="5">
        <v>43465</v>
      </c>
      <c r="F10" s="4">
        <v>5160</v>
      </c>
      <c r="G10" s="4">
        <v>2456</v>
      </c>
      <c r="H10" s="4" t="s">
        <v>36</v>
      </c>
      <c r="I10" s="4">
        <v>1373390382</v>
      </c>
      <c r="J10" s="4" t="s">
        <v>37</v>
      </c>
      <c r="K10" s="4" t="s">
        <v>38</v>
      </c>
      <c r="L10" s="6">
        <v>8913.5300000000007</v>
      </c>
      <c r="M10" s="6">
        <v>7306.17</v>
      </c>
      <c r="N10" s="5">
        <v>43457</v>
      </c>
      <c r="O10" s="5">
        <v>43481</v>
      </c>
      <c r="P10" s="4" t="s">
        <v>39</v>
      </c>
    </row>
    <row r="11" spans="1:16">
      <c r="A11" s="4" t="s">
        <v>17</v>
      </c>
      <c r="B11" s="5">
        <v>43456</v>
      </c>
      <c r="C11" s="4" t="str">
        <f>"156/EL"</f>
        <v>156/EL</v>
      </c>
      <c r="D11" s="4">
        <v>135729271</v>
      </c>
      <c r="E11" s="5">
        <v>43461</v>
      </c>
      <c r="F11" s="4">
        <v>5102</v>
      </c>
      <c r="G11" s="4">
        <v>2456</v>
      </c>
      <c r="H11" s="4" t="s">
        <v>36</v>
      </c>
      <c r="I11" s="4">
        <v>1373390382</v>
      </c>
      <c r="J11" s="4" t="s">
        <v>37</v>
      </c>
      <c r="K11" s="4" t="s">
        <v>40</v>
      </c>
      <c r="L11" s="4">
        <v>711.03</v>
      </c>
      <c r="M11" s="4">
        <v>582.80999999999995</v>
      </c>
      <c r="N11" s="5">
        <v>43456</v>
      </c>
      <c r="O11" s="5">
        <v>43601</v>
      </c>
      <c r="P11" s="4" t="s">
        <v>21</v>
      </c>
    </row>
    <row r="12" spans="1:16">
      <c r="A12" s="4" t="s">
        <v>17</v>
      </c>
      <c r="B12" s="5">
        <v>43456</v>
      </c>
      <c r="C12" s="4" t="str">
        <f>"157/EL"</f>
        <v>157/EL</v>
      </c>
      <c r="D12" s="4">
        <v>135730429</v>
      </c>
      <c r="E12" s="5">
        <v>43465</v>
      </c>
      <c r="F12" s="4">
        <v>5190</v>
      </c>
      <c r="G12" s="4">
        <v>2456</v>
      </c>
      <c r="H12" s="4" t="s">
        <v>36</v>
      </c>
      <c r="I12" s="4">
        <v>1373390382</v>
      </c>
      <c r="J12" s="4" t="s">
        <v>37</v>
      </c>
      <c r="K12" s="4" t="s">
        <v>40</v>
      </c>
      <c r="L12" s="6">
        <v>1500</v>
      </c>
      <c r="M12" s="6">
        <v>1229.51</v>
      </c>
      <c r="N12" s="5">
        <v>43456</v>
      </c>
      <c r="O12" s="5">
        <v>43481</v>
      </c>
      <c r="P12" s="4" t="s">
        <v>39</v>
      </c>
    </row>
    <row r="13" spans="1:16">
      <c r="A13" s="4" t="s">
        <v>17</v>
      </c>
      <c r="B13" s="5">
        <v>43456</v>
      </c>
      <c r="C13" s="4" t="str">
        <f>"105"</f>
        <v>105</v>
      </c>
      <c r="D13" s="4">
        <v>135723956</v>
      </c>
      <c r="E13" s="5">
        <v>43462</v>
      </c>
      <c r="F13" s="4">
        <v>5128</v>
      </c>
      <c r="G13" s="4">
        <v>107046</v>
      </c>
      <c r="H13" s="4" t="s">
        <v>41</v>
      </c>
      <c r="I13" s="4">
        <v>1885640381</v>
      </c>
      <c r="J13" s="4" t="s">
        <v>42</v>
      </c>
      <c r="K13" s="4" t="s">
        <v>43</v>
      </c>
      <c r="L13" s="6">
        <v>1479.62</v>
      </c>
      <c r="M13" s="6">
        <v>1212.8</v>
      </c>
      <c r="N13" s="4"/>
      <c r="O13" s="5">
        <v>43480</v>
      </c>
      <c r="P13" s="4" t="s">
        <v>44</v>
      </c>
    </row>
    <row r="14" spans="1:16">
      <c r="A14" s="4" t="s">
        <v>45</v>
      </c>
      <c r="B14" s="5">
        <v>43456</v>
      </c>
      <c r="C14" s="4" t="str">
        <f>"3"</f>
        <v>3</v>
      </c>
      <c r="D14" s="4">
        <v>135723421</v>
      </c>
      <c r="E14" s="5">
        <v>43462</v>
      </c>
      <c r="F14" s="4">
        <v>5127</v>
      </c>
      <c r="G14" s="4">
        <v>107046</v>
      </c>
      <c r="H14" s="4" t="s">
        <v>41</v>
      </c>
      <c r="I14" s="4">
        <v>1885640381</v>
      </c>
      <c r="J14" s="4" t="s">
        <v>42</v>
      </c>
      <c r="K14" s="4" t="s">
        <v>46</v>
      </c>
      <c r="L14" s="6">
        <v>-1479.62</v>
      </c>
      <c r="M14" s="6">
        <v>-1212.8</v>
      </c>
      <c r="N14" s="4"/>
      <c r="O14" s="5">
        <v>43480</v>
      </c>
      <c r="P14" s="4" t="s">
        <v>44</v>
      </c>
    </row>
    <row r="15" spans="1:16">
      <c r="A15" s="4" t="s">
        <v>17</v>
      </c>
      <c r="B15" s="5">
        <v>43455</v>
      </c>
      <c r="C15" s="4" t="str">
        <f>"27"</f>
        <v>27</v>
      </c>
      <c r="D15" s="4">
        <v>135298143</v>
      </c>
      <c r="E15" s="5">
        <v>43461</v>
      </c>
      <c r="F15" s="4">
        <v>5119</v>
      </c>
      <c r="G15" s="4">
        <v>1657</v>
      </c>
      <c r="H15" s="4" t="s">
        <v>47</v>
      </c>
      <c r="I15" s="4" t="s">
        <v>48</v>
      </c>
      <c r="J15" s="4" t="s">
        <v>49</v>
      </c>
      <c r="K15" s="4" t="s">
        <v>50</v>
      </c>
      <c r="L15" s="6">
        <v>2232.6</v>
      </c>
      <c r="M15" s="6">
        <v>1830</v>
      </c>
      <c r="N15" s="4"/>
      <c r="O15" s="5">
        <v>43481</v>
      </c>
      <c r="P15" s="4" t="s">
        <v>39</v>
      </c>
    </row>
    <row r="16" spans="1:16">
      <c r="A16" s="4" t="s">
        <v>45</v>
      </c>
      <c r="B16" s="5">
        <v>43455</v>
      </c>
      <c r="C16" s="4" t="str">
        <f>"155/EL"</f>
        <v>155/EL</v>
      </c>
      <c r="D16" s="4">
        <v>135728781</v>
      </c>
      <c r="E16" s="5">
        <v>43462</v>
      </c>
      <c r="F16" s="4">
        <v>5130</v>
      </c>
      <c r="G16" s="4">
        <v>2456</v>
      </c>
      <c r="H16" s="4" t="s">
        <v>36</v>
      </c>
      <c r="I16" s="4">
        <v>1373390382</v>
      </c>
      <c r="J16" s="4" t="s">
        <v>37</v>
      </c>
      <c r="K16" s="4" t="s">
        <v>51</v>
      </c>
      <c r="L16" s="6">
        <v>-1500</v>
      </c>
      <c r="M16" s="6">
        <v>-1229.51</v>
      </c>
      <c r="N16" s="5">
        <v>43455</v>
      </c>
      <c r="O16" s="5">
        <v>43481</v>
      </c>
      <c r="P16" s="4" t="s">
        <v>39</v>
      </c>
    </row>
    <row r="17" spans="1:16">
      <c r="A17" s="4" t="s">
        <v>17</v>
      </c>
      <c r="B17" s="5">
        <v>43455</v>
      </c>
      <c r="C17" s="4" t="str">
        <f>"585"</f>
        <v>585</v>
      </c>
      <c r="D17" s="4">
        <v>135523451</v>
      </c>
      <c r="E17" s="5">
        <v>43461</v>
      </c>
      <c r="F17" s="4">
        <v>5120</v>
      </c>
      <c r="G17" s="4">
        <v>6157</v>
      </c>
      <c r="H17" s="4" t="s">
        <v>52</v>
      </c>
      <c r="I17" s="4">
        <v>2887150361</v>
      </c>
      <c r="J17" s="4" t="s">
        <v>53</v>
      </c>
      <c r="K17" s="4" t="s">
        <v>54</v>
      </c>
      <c r="L17" s="6">
        <v>1865.38</v>
      </c>
      <c r="M17" s="6">
        <v>1529</v>
      </c>
      <c r="N17" s="4"/>
      <c r="O17" s="5">
        <v>43481</v>
      </c>
      <c r="P17" s="4" t="s">
        <v>39</v>
      </c>
    </row>
    <row r="18" spans="1:16">
      <c r="A18" s="4" t="s">
        <v>17</v>
      </c>
      <c r="B18" s="5">
        <v>43455</v>
      </c>
      <c r="C18" s="4" t="str">
        <f>"297/20/PA"</f>
        <v>297/20/PA</v>
      </c>
      <c r="D18" s="4">
        <v>136469777</v>
      </c>
      <c r="E18" s="5">
        <v>43465</v>
      </c>
      <c r="F18" s="4">
        <v>5192</v>
      </c>
      <c r="G18" s="4">
        <v>7519</v>
      </c>
      <c r="H18" s="4" t="s">
        <v>55</v>
      </c>
      <c r="I18" s="4" t="s">
        <v>56</v>
      </c>
      <c r="J18" s="4" t="s">
        <v>57</v>
      </c>
      <c r="K18" s="4" t="s">
        <v>58</v>
      </c>
      <c r="L18" s="6">
        <v>1473.43</v>
      </c>
      <c r="M18" s="6">
        <v>1207.73</v>
      </c>
      <c r="N18" s="5">
        <v>43455</v>
      </c>
      <c r="O18" s="5">
        <v>43509</v>
      </c>
      <c r="P18" s="4" t="s">
        <v>59</v>
      </c>
    </row>
    <row r="19" spans="1:16">
      <c r="A19" s="4" t="s">
        <v>17</v>
      </c>
      <c r="B19" s="5">
        <v>43455</v>
      </c>
      <c r="C19" s="4" t="str">
        <f>"298/21/PA"</f>
        <v>298/21/PA</v>
      </c>
      <c r="D19" s="4">
        <v>136469770</v>
      </c>
      <c r="E19" s="5">
        <v>43465</v>
      </c>
      <c r="F19" s="4">
        <v>5193</v>
      </c>
      <c r="G19" s="4">
        <v>7519</v>
      </c>
      <c r="H19" s="4" t="s">
        <v>55</v>
      </c>
      <c r="I19" s="4" t="s">
        <v>56</v>
      </c>
      <c r="J19" s="4" t="s">
        <v>57</v>
      </c>
      <c r="K19" s="4" t="s">
        <v>60</v>
      </c>
      <c r="L19" s="4">
        <v>146.4</v>
      </c>
      <c r="M19" s="4">
        <v>120</v>
      </c>
      <c r="N19" s="5">
        <v>43455</v>
      </c>
      <c r="O19" s="5">
        <v>43509</v>
      </c>
      <c r="P19" s="4" t="s">
        <v>59</v>
      </c>
    </row>
    <row r="20" spans="1:16">
      <c r="A20" s="4" t="s">
        <v>17</v>
      </c>
      <c r="B20" s="5">
        <v>43455</v>
      </c>
      <c r="C20" s="4" t="str">
        <f>"FATTPA 10_18"</f>
        <v>FATTPA 10_18</v>
      </c>
      <c r="D20" s="4">
        <v>135293154</v>
      </c>
      <c r="E20" s="5">
        <v>43458</v>
      </c>
      <c r="F20" s="4">
        <v>5098</v>
      </c>
      <c r="G20" s="4">
        <v>7556</v>
      </c>
      <c r="H20" s="4" t="s">
        <v>61</v>
      </c>
      <c r="I20" s="4">
        <v>1576070898</v>
      </c>
      <c r="J20" s="4" t="s">
        <v>62</v>
      </c>
      <c r="K20" s="4" t="s">
        <v>63</v>
      </c>
      <c r="L20" s="6">
        <v>80381.649999999994</v>
      </c>
      <c r="M20" s="6">
        <v>65886.600000000006</v>
      </c>
      <c r="N20" s="5">
        <v>43455</v>
      </c>
      <c r="O20" s="5">
        <v>43488</v>
      </c>
      <c r="P20" s="4" t="s">
        <v>64</v>
      </c>
    </row>
    <row r="21" spans="1:16">
      <c r="A21" s="4" t="s">
        <v>17</v>
      </c>
      <c r="B21" s="5">
        <v>43454</v>
      </c>
      <c r="C21" s="4" t="str">
        <f>"1/PA"</f>
        <v>1/PA</v>
      </c>
      <c r="D21" s="4">
        <v>136552105</v>
      </c>
      <c r="E21" s="5">
        <v>43465</v>
      </c>
      <c r="F21" s="4">
        <v>5191</v>
      </c>
      <c r="G21" s="4">
        <v>1530</v>
      </c>
      <c r="H21" s="4" t="s">
        <v>65</v>
      </c>
      <c r="I21" s="4">
        <v>1270010380</v>
      </c>
      <c r="J21" s="4" t="s">
        <v>66</v>
      </c>
      <c r="K21" s="4" t="s">
        <v>67</v>
      </c>
      <c r="L21" s="6">
        <v>4000</v>
      </c>
      <c r="M21" s="6">
        <v>4000</v>
      </c>
      <c r="N21" s="5">
        <v>43454</v>
      </c>
      <c r="O21" s="5">
        <v>43487</v>
      </c>
      <c r="P21" s="4" t="s">
        <v>68</v>
      </c>
    </row>
    <row r="22" spans="1:16">
      <c r="A22" s="4" t="s">
        <v>17</v>
      </c>
      <c r="B22" s="5">
        <v>43454</v>
      </c>
      <c r="C22" s="4" t="str">
        <f>"77/F"</f>
        <v>77/F</v>
      </c>
      <c r="D22" s="4">
        <v>135260474</v>
      </c>
      <c r="E22" s="5">
        <v>43458</v>
      </c>
      <c r="F22" s="4">
        <v>5095</v>
      </c>
      <c r="G22" s="4">
        <v>6903</v>
      </c>
      <c r="H22" s="4" t="s">
        <v>69</v>
      </c>
      <c r="I22" s="4">
        <v>1578470385</v>
      </c>
      <c r="J22" s="4" t="s">
        <v>70</v>
      </c>
      <c r="K22" s="4" t="s">
        <v>71</v>
      </c>
      <c r="L22" s="4">
        <v>195.8</v>
      </c>
      <c r="M22" s="4">
        <v>195.8</v>
      </c>
      <c r="N22" s="4"/>
      <c r="O22" s="5">
        <v>43565</v>
      </c>
      <c r="P22" s="4" t="s">
        <v>21</v>
      </c>
    </row>
    <row r="23" spans="1:16">
      <c r="A23" s="4" t="s">
        <v>17</v>
      </c>
      <c r="B23" s="5">
        <v>43454</v>
      </c>
      <c r="C23" s="4" t="str">
        <f>"3-2018/PA"</f>
        <v>3-2018/PA</v>
      </c>
      <c r="D23" s="4">
        <v>135031181</v>
      </c>
      <c r="E23" s="5">
        <v>43458</v>
      </c>
      <c r="F23" s="4">
        <v>5099</v>
      </c>
      <c r="G23" s="4">
        <v>107037</v>
      </c>
      <c r="H23" s="4" t="s">
        <v>72</v>
      </c>
      <c r="I23" s="4">
        <v>1952750386</v>
      </c>
      <c r="J23" s="4" t="s">
        <v>73</v>
      </c>
      <c r="K23" s="4" t="s">
        <v>74</v>
      </c>
      <c r="L23" s="6">
        <v>1176</v>
      </c>
      <c r="M23" s="4">
        <v>963.93</v>
      </c>
      <c r="N23" s="4"/>
      <c r="O23" s="5">
        <v>43487</v>
      </c>
      <c r="P23" s="4" t="s">
        <v>68</v>
      </c>
    </row>
    <row r="24" spans="1:16">
      <c r="A24" s="4" t="s">
        <v>17</v>
      </c>
      <c r="B24" s="5">
        <v>43453</v>
      </c>
      <c r="C24" s="4" t="str">
        <f>"2/PA"</f>
        <v>2/PA</v>
      </c>
      <c r="D24" s="4">
        <v>136494196</v>
      </c>
      <c r="E24" s="5">
        <v>43465</v>
      </c>
      <c r="F24" s="4">
        <v>5167</v>
      </c>
      <c r="G24" s="4">
        <v>5539</v>
      </c>
      <c r="H24" s="4" t="s">
        <v>75</v>
      </c>
      <c r="I24" s="4" t="s">
        <v>76</v>
      </c>
      <c r="J24" s="4" t="s">
        <v>77</v>
      </c>
      <c r="K24" s="4" t="s">
        <v>78</v>
      </c>
      <c r="L24" s="4">
        <v>90</v>
      </c>
      <c r="M24" s="4">
        <v>75.540000000000006</v>
      </c>
      <c r="N24" s="5">
        <v>43453</v>
      </c>
      <c r="O24" s="5">
        <v>43495</v>
      </c>
      <c r="P24" s="4" t="s">
        <v>21</v>
      </c>
    </row>
    <row r="25" spans="1:16">
      <c r="A25" s="4" t="s">
        <v>17</v>
      </c>
      <c r="B25" s="5">
        <v>43453</v>
      </c>
      <c r="C25" s="4" t="str">
        <f>"74/E"</f>
        <v>74/E</v>
      </c>
      <c r="D25" s="4">
        <v>134932849</v>
      </c>
      <c r="E25" s="5">
        <v>43455</v>
      </c>
      <c r="F25" s="4">
        <v>5081</v>
      </c>
      <c r="G25" s="4">
        <v>106854</v>
      </c>
      <c r="H25" s="4" t="s">
        <v>79</v>
      </c>
      <c r="I25" s="4">
        <v>1952810388</v>
      </c>
      <c r="J25" s="4" t="s">
        <v>80</v>
      </c>
      <c r="K25" s="4" t="s">
        <v>81</v>
      </c>
      <c r="L25" s="4">
        <v>262.36</v>
      </c>
      <c r="M25" s="4">
        <v>215.05</v>
      </c>
      <c r="N25" s="5">
        <v>43453</v>
      </c>
      <c r="O25" s="5">
        <v>43481</v>
      </c>
      <c r="P25" s="4" t="s">
        <v>39</v>
      </c>
    </row>
    <row r="26" spans="1:16">
      <c r="A26" s="4" t="s">
        <v>17</v>
      </c>
      <c r="B26" s="5">
        <v>43453</v>
      </c>
      <c r="C26" s="4" t="str">
        <f>"29"</f>
        <v>29</v>
      </c>
      <c r="D26" s="4">
        <v>135402482</v>
      </c>
      <c r="E26" s="5">
        <v>43462</v>
      </c>
      <c r="F26" s="4">
        <v>5122</v>
      </c>
      <c r="G26" s="4">
        <v>108375</v>
      </c>
      <c r="H26" s="4" t="s">
        <v>82</v>
      </c>
      <c r="I26" s="4" t="s">
        <v>83</v>
      </c>
      <c r="J26" s="4" t="s">
        <v>84</v>
      </c>
      <c r="K26" s="4" t="s">
        <v>85</v>
      </c>
      <c r="L26" s="4">
        <v>596.45000000000005</v>
      </c>
      <c r="M26" s="4">
        <v>492.5</v>
      </c>
      <c r="N26" s="4"/>
      <c r="O26" s="5">
        <v>43501</v>
      </c>
      <c r="P26" s="4" t="s">
        <v>39</v>
      </c>
    </row>
    <row r="27" spans="1:16">
      <c r="A27" s="4" t="s">
        <v>17</v>
      </c>
      <c r="B27" s="5">
        <v>43452</v>
      </c>
      <c r="C27" s="4" t="str">
        <f>"000019-2018-FAT PA"</f>
        <v>000019-2018-FAT PA</v>
      </c>
      <c r="D27" s="4">
        <v>134932938</v>
      </c>
      <c r="E27" s="5">
        <v>43455</v>
      </c>
      <c r="F27" s="4">
        <v>5082</v>
      </c>
      <c r="G27" s="4">
        <v>2880</v>
      </c>
      <c r="H27" s="4" t="s">
        <v>86</v>
      </c>
      <c r="I27" s="4" t="s">
        <v>87</v>
      </c>
      <c r="J27" s="4" t="s">
        <v>88</v>
      </c>
      <c r="K27" s="4" t="s">
        <v>89</v>
      </c>
      <c r="L27" s="4">
        <v>627.65</v>
      </c>
      <c r="M27" s="4">
        <v>514.47</v>
      </c>
      <c r="N27" s="4"/>
      <c r="O27" s="5">
        <v>43495</v>
      </c>
      <c r="P27" s="4" t="s">
        <v>21</v>
      </c>
    </row>
    <row r="28" spans="1:16">
      <c r="A28" s="4" t="s">
        <v>17</v>
      </c>
      <c r="B28" s="5">
        <v>43451</v>
      </c>
      <c r="C28" s="4" t="str">
        <f>"000253-2018-EL"</f>
        <v>000253-2018-EL</v>
      </c>
      <c r="D28" s="4">
        <v>133903200</v>
      </c>
      <c r="E28" s="5">
        <v>43452</v>
      </c>
      <c r="F28" s="4">
        <v>5019</v>
      </c>
      <c r="G28" s="4">
        <v>6512</v>
      </c>
      <c r="H28" s="4" t="s">
        <v>90</v>
      </c>
      <c r="I28" s="4">
        <v>3008301206</v>
      </c>
      <c r="J28" s="4" t="s">
        <v>91</v>
      </c>
      <c r="K28" s="4" t="s">
        <v>92</v>
      </c>
      <c r="L28" s="6">
        <v>1098</v>
      </c>
      <c r="M28" s="4">
        <v>900</v>
      </c>
      <c r="N28" s="4"/>
      <c r="O28" s="5">
        <v>43481</v>
      </c>
      <c r="P28" s="4" t="s">
        <v>93</v>
      </c>
    </row>
    <row r="29" spans="1:16">
      <c r="A29" s="4" t="s">
        <v>17</v>
      </c>
      <c r="B29" s="5">
        <v>43451</v>
      </c>
      <c r="C29" s="4" t="str">
        <f>"000254-2018-EL"</f>
        <v>000254-2018-EL</v>
      </c>
      <c r="D29" s="4">
        <v>133903616</v>
      </c>
      <c r="E29" s="5">
        <v>43452</v>
      </c>
      <c r="F29" s="4">
        <v>5020</v>
      </c>
      <c r="G29" s="4">
        <v>6512</v>
      </c>
      <c r="H29" s="4" t="s">
        <v>90</v>
      </c>
      <c r="I29" s="4">
        <v>3008301206</v>
      </c>
      <c r="J29" s="4" t="s">
        <v>91</v>
      </c>
      <c r="K29" s="4" t="s">
        <v>92</v>
      </c>
      <c r="L29" s="6">
        <v>1952</v>
      </c>
      <c r="M29" s="6">
        <v>1600</v>
      </c>
      <c r="N29" s="4"/>
      <c r="O29" s="5">
        <v>43481</v>
      </c>
      <c r="P29" s="4" t="s">
        <v>93</v>
      </c>
    </row>
    <row r="30" spans="1:16">
      <c r="A30" s="4" t="s">
        <v>17</v>
      </c>
      <c r="B30" s="5">
        <v>43451</v>
      </c>
      <c r="C30" s="4" t="str">
        <f>"71/E"</f>
        <v>71/E</v>
      </c>
      <c r="D30" s="4">
        <v>134248320</v>
      </c>
      <c r="E30" s="5">
        <v>43455</v>
      </c>
      <c r="F30" s="4">
        <v>5080</v>
      </c>
      <c r="G30" s="4">
        <v>106854</v>
      </c>
      <c r="H30" s="4" t="s">
        <v>79</v>
      </c>
      <c r="I30" s="4">
        <v>1952810388</v>
      </c>
      <c r="J30" s="4" t="s">
        <v>80</v>
      </c>
      <c r="K30" s="4" t="s">
        <v>94</v>
      </c>
      <c r="L30" s="4">
        <v>103.7</v>
      </c>
      <c r="M30" s="4">
        <v>85</v>
      </c>
      <c r="N30" s="4"/>
      <c r="O30" s="5">
        <v>43481</v>
      </c>
      <c r="P30" s="4" t="s">
        <v>39</v>
      </c>
    </row>
    <row r="31" spans="1:16">
      <c r="A31" s="4" t="s">
        <v>17</v>
      </c>
      <c r="B31" s="5">
        <v>43451</v>
      </c>
      <c r="C31" s="4" t="str">
        <f>"72/E"</f>
        <v>72/E</v>
      </c>
      <c r="D31" s="4">
        <v>134248314</v>
      </c>
      <c r="E31" s="5">
        <v>43455</v>
      </c>
      <c r="F31" s="4">
        <v>5078</v>
      </c>
      <c r="G31" s="4">
        <v>106854</v>
      </c>
      <c r="H31" s="4" t="s">
        <v>79</v>
      </c>
      <c r="I31" s="4">
        <v>1952810388</v>
      </c>
      <c r="J31" s="4" t="s">
        <v>80</v>
      </c>
      <c r="K31" s="4" t="s">
        <v>95</v>
      </c>
      <c r="L31" s="4">
        <v>281.14999999999998</v>
      </c>
      <c r="M31" s="4">
        <v>230.45</v>
      </c>
      <c r="N31" s="4"/>
      <c r="O31" s="5">
        <v>43481</v>
      </c>
      <c r="P31" s="4" t="s">
        <v>39</v>
      </c>
    </row>
    <row r="32" spans="1:16">
      <c r="A32" s="4" t="s">
        <v>17</v>
      </c>
      <c r="B32" s="5">
        <v>43451</v>
      </c>
      <c r="C32" s="4" t="str">
        <f>"73/E"</f>
        <v>73/E</v>
      </c>
      <c r="D32" s="4">
        <v>134248328</v>
      </c>
      <c r="E32" s="5">
        <v>43455</v>
      </c>
      <c r="F32" s="4">
        <v>5079</v>
      </c>
      <c r="G32" s="4">
        <v>106854</v>
      </c>
      <c r="H32" s="4" t="s">
        <v>79</v>
      </c>
      <c r="I32" s="4">
        <v>1952810388</v>
      </c>
      <c r="J32" s="4" t="s">
        <v>80</v>
      </c>
      <c r="K32" s="4" t="s">
        <v>96</v>
      </c>
      <c r="L32" s="4">
        <v>66.88</v>
      </c>
      <c r="M32" s="4">
        <v>56.66</v>
      </c>
      <c r="N32" s="4"/>
      <c r="O32" s="5">
        <v>43481</v>
      </c>
      <c r="P32" s="4" t="s">
        <v>39</v>
      </c>
    </row>
    <row r="33" spans="1:16">
      <c r="A33" s="4" t="s">
        <v>17</v>
      </c>
      <c r="B33" s="5">
        <v>43451</v>
      </c>
      <c r="C33" s="4" t="str">
        <f>"7EL"</f>
        <v>7EL</v>
      </c>
      <c r="D33" s="4">
        <v>135595295</v>
      </c>
      <c r="E33" s="5">
        <v>43462</v>
      </c>
      <c r="F33" s="4">
        <v>5123</v>
      </c>
      <c r="G33" s="4">
        <v>108128</v>
      </c>
      <c r="H33" s="4" t="s">
        <v>97</v>
      </c>
      <c r="I33" s="4">
        <v>3218940363</v>
      </c>
      <c r="J33" s="4" t="s">
        <v>98</v>
      </c>
      <c r="K33" s="4" t="s">
        <v>99</v>
      </c>
      <c r="L33" s="4">
        <v>244</v>
      </c>
      <c r="M33" s="4">
        <v>200</v>
      </c>
      <c r="N33" s="4"/>
      <c r="O33" s="5">
        <v>43480</v>
      </c>
      <c r="P33" s="4" t="s">
        <v>44</v>
      </c>
    </row>
    <row r="34" spans="1:16">
      <c r="A34" s="4" t="s">
        <v>17</v>
      </c>
      <c r="B34" s="5">
        <v>43451</v>
      </c>
      <c r="C34" s="4" t="str">
        <f>"000001-2018-PA"</f>
        <v>000001-2018-PA</v>
      </c>
      <c r="D34" s="4">
        <v>133903204</v>
      </c>
      <c r="E34" s="5">
        <v>43452</v>
      </c>
      <c r="F34" s="4">
        <v>5018</v>
      </c>
      <c r="G34" s="4">
        <v>108281</v>
      </c>
      <c r="H34" s="4" t="s">
        <v>100</v>
      </c>
      <c r="I34" s="4" t="s">
        <v>101</v>
      </c>
      <c r="J34" s="4" t="s">
        <v>102</v>
      </c>
      <c r="K34" s="4" t="s">
        <v>103</v>
      </c>
      <c r="L34" s="4">
        <v>396.5</v>
      </c>
      <c r="M34" s="4">
        <v>325</v>
      </c>
      <c r="N34" s="4"/>
      <c r="O34" s="5">
        <v>43474</v>
      </c>
      <c r="P34" s="4" t="s">
        <v>39</v>
      </c>
    </row>
    <row r="35" spans="1:16">
      <c r="A35" s="4" t="s">
        <v>17</v>
      </c>
      <c r="B35" s="5">
        <v>43449</v>
      </c>
      <c r="C35" s="4" t="str">
        <f>"153/EL"</f>
        <v>153/EL</v>
      </c>
      <c r="D35" s="4">
        <v>133813799</v>
      </c>
      <c r="E35" s="5">
        <v>43451</v>
      </c>
      <c r="F35" s="4">
        <v>4995</v>
      </c>
      <c r="G35" s="4">
        <v>2456</v>
      </c>
      <c r="H35" s="4" t="s">
        <v>36</v>
      </c>
      <c r="I35" s="4">
        <v>1373390382</v>
      </c>
      <c r="J35" s="4" t="s">
        <v>37</v>
      </c>
      <c r="K35" s="4" t="s">
        <v>104</v>
      </c>
      <c r="L35" s="6">
        <v>1500</v>
      </c>
      <c r="M35" s="6">
        <v>1229.51</v>
      </c>
      <c r="N35" s="5">
        <v>43449</v>
      </c>
      <c r="O35" s="5">
        <v>43481</v>
      </c>
      <c r="P35" s="4" t="s">
        <v>39</v>
      </c>
    </row>
    <row r="36" spans="1:16">
      <c r="A36" s="4" t="s">
        <v>17</v>
      </c>
      <c r="B36" s="5">
        <v>43447</v>
      </c>
      <c r="C36" s="4" t="str">
        <f>"00002/04"</f>
        <v>00002/04</v>
      </c>
      <c r="D36" s="4">
        <v>133160248</v>
      </c>
      <c r="E36" s="5">
        <v>43448</v>
      </c>
      <c r="F36" s="4">
        <v>4979</v>
      </c>
      <c r="G36" s="4">
        <v>7628</v>
      </c>
      <c r="H36" s="4" t="s">
        <v>105</v>
      </c>
      <c r="I36" s="4">
        <v>135990398</v>
      </c>
      <c r="J36" s="4" t="s">
        <v>106</v>
      </c>
      <c r="K36" s="4" t="s">
        <v>107</v>
      </c>
      <c r="L36" s="4">
        <v>100</v>
      </c>
      <c r="M36" s="4">
        <v>81.97</v>
      </c>
      <c r="N36" s="5">
        <v>43447</v>
      </c>
      <c r="O36" s="5">
        <v>43578</v>
      </c>
      <c r="P36" s="4" t="s">
        <v>21</v>
      </c>
    </row>
    <row r="37" spans="1:16">
      <c r="A37" s="4" t="s">
        <v>17</v>
      </c>
      <c r="B37" s="5">
        <v>43447</v>
      </c>
      <c r="C37" s="4" t="str">
        <f>"2"</f>
        <v>2</v>
      </c>
      <c r="D37" s="4">
        <v>133319539</v>
      </c>
      <c r="E37" s="5">
        <v>43454</v>
      </c>
      <c r="F37" s="4">
        <v>5037</v>
      </c>
      <c r="G37" s="4">
        <v>8038</v>
      </c>
      <c r="H37" s="4" t="s">
        <v>108</v>
      </c>
      <c r="I37" s="4">
        <v>3014230274</v>
      </c>
      <c r="J37" s="4" t="s">
        <v>109</v>
      </c>
      <c r="K37" s="4" t="s">
        <v>110</v>
      </c>
      <c r="L37" s="6">
        <v>2800</v>
      </c>
      <c r="M37" s="6">
        <v>2800</v>
      </c>
      <c r="N37" s="4"/>
      <c r="O37" s="5">
        <v>43481</v>
      </c>
      <c r="P37" s="4" t="s">
        <v>35</v>
      </c>
    </row>
    <row r="38" spans="1:16">
      <c r="A38" s="4" t="s">
        <v>17</v>
      </c>
      <c r="B38" s="5">
        <v>43447</v>
      </c>
      <c r="C38" s="4" t="str">
        <f>"1618041551"</f>
        <v>1618041551</v>
      </c>
      <c r="D38" s="4">
        <v>133447331</v>
      </c>
      <c r="E38" s="5">
        <v>43454</v>
      </c>
      <c r="F38" s="4">
        <v>5035</v>
      </c>
      <c r="G38" s="4">
        <v>106695</v>
      </c>
      <c r="H38" s="4" t="s">
        <v>111</v>
      </c>
      <c r="I38" s="4">
        <v>1336610587</v>
      </c>
      <c r="J38" s="4" t="s">
        <v>112</v>
      </c>
      <c r="K38" s="4" t="s">
        <v>113</v>
      </c>
      <c r="L38" s="4">
        <v>759.33</v>
      </c>
      <c r="M38" s="4">
        <v>622.4</v>
      </c>
      <c r="N38" s="4"/>
      <c r="O38" s="5">
        <v>43480</v>
      </c>
      <c r="P38" s="4" t="s">
        <v>35</v>
      </c>
    </row>
    <row r="39" spans="1:16">
      <c r="A39" s="4" t="s">
        <v>17</v>
      </c>
      <c r="B39" s="5">
        <v>43447</v>
      </c>
      <c r="C39" s="4" t="str">
        <f>"1618041560"</f>
        <v>1618041560</v>
      </c>
      <c r="D39" s="4">
        <v>133447362</v>
      </c>
      <c r="E39" s="5">
        <v>43454</v>
      </c>
      <c r="F39" s="4">
        <v>5053</v>
      </c>
      <c r="G39" s="4">
        <v>106695</v>
      </c>
      <c r="H39" s="4" t="s">
        <v>111</v>
      </c>
      <c r="I39" s="4">
        <v>1336610587</v>
      </c>
      <c r="J39" s="4" t="s">
        <v>112</v>
      </c>
      <c r="K39" s="4" t="s">
        <v>114</v>
      </c>
      <c r="L39" s="4">
        <v>164.44</v>
      </c>
      <c r="M39" s="4">
        <v>134.79</v>
      </c>
      <c r="N39" s="4"/>
      <c r="O39" s="5">
        <v>43480</v>
      </c>
      <c r="P39" s="4" t="s">
        <v>35</v>
      </c>
    </row>
    <row r="40" spans="1:16">
      <c r="A40" s="4" t="s">
        <v>17</v>
      </c>
      <c r="B40" s="5">
        <v>43446</v>
      </c>
      <c r="C40" s="4" t="str">
        <f>"000015-2018-FAT PA"</f>
        <v>000015-2018-FAT PA</v>
      </c>
      <c r="D40" s="4">
        <v>133033774</v>
      </c>
      <c r="E40" s="5">
        <v>43447</v>
      </c>
      <c r="F40" s="4">
        <v>4951</v>
      </c>
      <c r="G40" s="4">
        <v>2880</v>
      </c>
      <c r="H40" s="4" t="s">
        <v>86</v>
      </c>
      <c r="I40" s="4" t="s">
        <v>87</v>
      </c>
      <c r="J40" s="4" t="s">
        <v>88</v>
      </c>
      <c r="K40" s="4" t="s">
        <v>115</v>
      </c>
      <c r="L40" s="4">
        <v>264.01</v>
      </c>
      <c r="M40" s="4">
        <v>216.4</v>
      </c>
      <c r="N40" s="4"/>
      <c r="O40" s="5">
        <v>43578</v>
      </c>
      <c r="P40" s="4" t="s">
        <v>21</v>
      </c>
    </row>
    <row r="41" spans="1:16">
      <c r="A41" s="4" t="s">
        <v>17</v>
      </c>
      <c r="B41" s="5">
        <v>43446</v>
      </c>
      <c r="C41" s="4" t="str">
        <f>"000016-2018-FAT PA"</f>
        <v>000016-2018-FAT PA</v>
      </c>
      <c r="D41" s="4">
        <v>133033672</v>
      </c>
      <c r="E41" s="5">
        <v>43447</v>
      </c>
      <c r="F41" s="4">
        <v>4952</v>
      </c>
      <c r="G41" s="4">
        <v>2880</v>
      </c>
      <c r="H41" s="4" t="s">
        <v>86</v>
      </c>
      <c r="I41" s="4" t="s">
        <v>87</v>
      </c>
      <c r="J41" s="4" t="s">
        <v>88</v>
      </c>
      <c r="K41" s="4" t="s">
        <v>116</v>
      </c>
      <c r="L41" s="4">
        <v>475.04</v>
      </c>
      <c r="M41" s="4">
        <v>389.38</v>
      </c>
      <c r="N41" s="4"/>
      <c r="O41" s="5">
        <v>43578</v>
      </c>
      <c r="P41" s="4" t="s">
        <v>21</v>
      </c>
    </row>
    <row r="42" spans="1:16">
      <c r="A42" s="4" t="s">
        <v>45</v>
      </c>
      <c r="B42" s="5">
        <v>43446</v>
      </c>
      <c r="C42" s="4" t="str">
        <f>"000017-2018-FAT PA"</f>
        <v>000017-2018-FAT PA</v>
      </c>
      <c r="D42" s="4">
        <v>133038543</v>
      </c>
      <c r="E42" s="5">
        <v>43447</v>
      </c>
      <c r="F42" s="4">
        <v>4953</v>
      </c>
      <c r="G42" s="4">
        <v>2880</v>
      </c>
      <c r="H42" s="4" t="s">
        <v>86</v>
      </c>
      <c r="I42" s="4" t="s">
        <v>87</v>
      </c>
      <c r="J42" s="4" t="s">
        <v>88</v>
      </c>
      <c r="K42" s="4" t="s">
        <v>117</v>
      </c>
      <c r="L42" s="4">
        <v>-342.34</v>
      </c>
      <c r="M42" s="4">
        <v>-342.34</v>
      </c>
      <c r="N42" s="4"/>
      <c r="O42" s="5">
        <v>43578</v>
      </c>
      <c r="P42" s="4" t="s">
        <v>21</v>
      </c>
    </row>
    <row r="43" spans="1:16">
      <c r="A43" s="4" t="s">
        <v>17</v>
      </c>
      <c r="B43" s="5">
        <v>43446</v>
      </c>
      <c r="C43" s="4" t="str">
        <f>"000018-2018-FAT PA"</f>
        <v>000018-2018-FAT PA</v>
      </c>
      <c r="D43" s="4">
        <v>133038539</v>
      </c>
      <c r="E43" s="5">
        <v>43447</v>
      </c>
      <c r="F43" s="4">
        <v>4954</v>
      </c>
      <c r="G43" s="4">
        <v>2880</v>
      </c>
      <c r="H43" s="4" t="s">
        <v>86</v>
      </c>
      <c r="I43" s="4" t="s">
        <v>87</v>
      </c>
      <c r="J43" s="4" t="s">
        <v>88</v>
      </c>
      <c r="K43" s="4" t="s">
        <v>117</v>
      </c>
      <c r="L43" s="4">
        <v>342.34</v>
      </c>
      <c r="M43" s="4">
        <v>280.61</v>
      </c>
      <c r="N43" s="4"/>
      <c r="O43" s="5">
        <v>43578</v>
      </c>
      <c r="P43" s="4" t="s">
        <v>21</v>
      </c>
    </row>
    <row r="44" spans="1:16">
      <c r="A44" s="4" t="s">
        <v>17</v>
      </c>
      <c r="B44" s="5">
        <v>43445</v>
      </c>
      <c r="C44" s="4" t="str">
        <f>"176/2018/PA"</f>
        <v>176/2018/PA</v>
      </c>
      <c r="D44" s="4">
        <v>132577792</v>
      </c>
      <c r="E44" s="5">
        <v>43448</v>
      </c>
      <c r="F44" s="4">
        <v>4974</v>
      </c>
      <c r="G44" s="4">
        <v>2684</v>
      </c>
      <c r="H44" s="4" t="s">
        <v>118</v>
      </c>
      <c r="I44" s="4">
        <v>1748791207</v>
      </c>
      <c r="J44" s="4" t="s">
        <v>119</v>
      </c>
      <c r="K44" s="4" t="s">
        <v>120</v>
      </c>
      <c r="L44" s="4">
        <v>380</v>
      </c>
      <c r="M44" s="4">
        <v>380</v>
      </c>
      <c r="N44" s="5">
        <v>43465</v>
      </c>
      <c r="O44" s="5">
        <v>43481</v>
      </c>
      <c r="P44" s="4" t="s">
        <v>93</v>
      </c>
    </row>
    <row r="45" spans="1:16">
      <c r="A45" s="4" t="s">
        <v>17</v>
      </c>
      <c r="B45" s="5">
        <v>43444</v>
      </c>
      <c r="C45" s="4" t="str">
        <f>"2018000122"</f>
        <v>2018000122</v>
      </c>
      <c r="D45" s="4">
        <v>132288102</v>
      </c>
      <c r="E45" s="5">
        <v>43445</v>
      </c>
      <c r="F45" s="4">
        <v>4922</v>
      </c>
      <c r="G45" s="4">
        <v>5379</v>
      </c>
      <c r="H45" s="4" t="s">
        <v>121</v>
      </c>
      <c r="I45" s="4">
        <v>80061110377</v>
      </c>
      <c r="J45" s="4" t="s">
        <v>122</v>
      </c>
      <c r="K45" s="4" t="s">
        <v>123</v>
      </c>
      <c r="L45" s="6">
        <v>3300</v>
      </c>
      <c r="M45" s="6">
        <v>3300</v>
      </c>
      <c r="N45" s="5">
        <v>43444</v>
      </c>
      <c r="O45" s="5">
        <v>43504</v>
      </c>
      <c r="P45" s="4" t="s">
        <v>31</v>
      </c>
    </row>
    <row r="46" spans="1:16">
      <c r="A46" s="4" t="s">
        <v>17</v>
      </c>
      <c r="B46" s="5">
        <v>43438</v>
      </c>
      <c r="C46" s="4" t="str">
        <f>"00001/01"</f>
        <v>00001/01</v>
      </c>
      <c r="D46" s="4">
        <v>130998110</v>
      </c>
      <c r="E46" s="5">
        <v>43439</v>
      </c>
      <c r="F46" s="4">
        <v>4872</v>
      </c>
      <c r="G46" s="4">
        <v>5086</v>
      </c>
      <c r="H46" s="4" t="s">
        <v>124</v>
      </c>
      <c r="I46" s="4" t="s">
        <v>125</v>
      </c>
      <c r="J46" s="4" t="s">
        <v>126</v>
      </c>
      <c r="K46" s="4" t="s">
        <v>127</v>
      </c>
      <c r="L46" s="6">
        <v>1213.8699999999999</v>
      </c>
      <c r="M46" s="6">
        <v>1213.8699999999999</v>
      </c>
      <c r="N46" s="4"/>
      <c r="O46" s="5">
        <v>43479</v>
      </c>
      <c r="P46" s="4" t="s">
        <v>68</v>
      </c>
    </row>
    <row r="47" spans="1:16">
      <c r="A47" s="4" t="s">
        <v>17</v>
      </c>
      <c r="B47" s="5">
        <v>43438</v>
      </c>
      <c r="C47" s="4" t="str">
        <f>"1/PA"</f>
        <v>1/PA</v>
      </c>
      <c r="D47" s="4">
        <v>131114768</v>
      </c>
      <c r="E47" s="5">
        <v>43446</v>
      </c>
      <c r="F47" s="4">
        <v>4947</v>
      </c>
      <c r="G47" s="4">
        <v>5539</v>
      </c>
      <c r="H47" s="4" t="s">
        <v>75</v>
      </c>
      <c r="I47" s="4" t="s">
        <v>76</v>
      </c>
      <c r="J47" s="4" t="s">
        <v>77</v>
      </c>
      <c r="K47" s="4" t="s">
        <v>128</v>
      </c>
      <c r="L47" s="6">
        <v>1780</v>
      </c>
      <c r="M47" s="6">
        <v>1493.92</v>
      </c>
      <c r="N47" s="5">
        <v>43438</v>
      </c>
      <c r="O47" s="5">
        <v>43578</v>
      </c>
      <c r="P47" s="4" t="s">
        <v>21</v>
      </c>
    </row>
    <row r="48" spans="1:16">
      <c r="A48" s="4" t="s">
        <v>17</v>
      </c>
      <c r="B48" s="5">
        <v>43437</v>
      </c>
      <c r="C48" s="4" t="str">
        <f>"FAPA000006"</f>
        <v>FAPA000006</v>
      </c>
      <c r="D48" s="4">
        <v>207979851</v>
      </c>
      <c r="E48" s="5">
        <v>43494</v>
      </c>
      <c r="F48" s="4">
        <v>224</v>
      </c>
      <c r="G48" s="4">
        <v>5244</v>
      </c>
      <c r="H48" s="4" t="s">
        <v>129</v>
      </c>
      <c r="I48" s="4">
        <v>1673230387</v>
      </c>
      <c r="J48" s="4" t="s">
        <v>130</v>
      </c>
      <c r="K48" s="4" t="s">
        <v>127</v>
      </c>
      <c r="L48" s="4">
        <v>30.68</v>
      </c>
      <c r="M48" s="4">
        <v>30.68</v>
      </c>
      <c r="N48" s="5">
        <v>43437</v>
      </c>
      <c r="O48" s="5">
        <v>43504</v>
      </c>
      <c r="P48" s="4" t="s">
        <v>68</v>
      </c>
    </row>
    <row r="49" spans="1:16">
      <c r="A49" s="4" t="s">
        <v>17</v>
      </c>
      <c r="B49" s="5">
        <v>43434</v>
      </c>
      <c r="C49" s="4" t="str">
        <f>"07096/150"</f>
        <v>07096/150</v>
      </c>
      <c r="D49" s="4">
        <v>132437288</v>
      </c>
      <c r="E49" s="5">
        <v>43461</v>
      </c>
      <c r="F49" s="4">
        <v>5106</v>
      </c>
      <c r="G49" s="4">
        <v>1778</v>
      </c>
      <c r="H49" s="4" t="s">
        <v>131</v>
      </c>
      <c r="I49" s="4">
        <v>40220386</v>
      </c>
      <c r="J49" s="4" t="s">
        <v>132</v>
      </c>
      <c r="K49" s="4" t="s">
        <v>133</v>
      </c>
      <c r="L49" s="4">
        <v>950.47</v>
      </c>
      <c r="M49" s="4">
        <v>779.07</v>
      </c>
      <c r="N49" s="5">
        <v>43465</v>
      </c>
      <c r="O49" s="5">
        <v>43504</v>
      </c>
      <c r="P49" s="4" t="s">
        <v>39</v>
      </c>
    </row>
    <row r="50" spans="1:16">
      <c r="A50" s="4" t="s">
        <v>17</v>
      </c>
      <c r="B50" s="5">
        <v>43434</v>
      </c>
      <c r="C50" s="4" t="str">
        <f>"156"</f>
        <v>156</v>
      </c>
      <c r="D50" s="4">
        <v>132481108</v>
      </c>
      <c r="E50" s="5">
        <v>43447</v>
      </c>
      <c r="F50" s="4">
        <v>4965</v>
      </c>
      <c r="G50" s="4">
        <v>3564</v>
      </c>
      <c r="H50" s="4" t="s">
        <v>134</v>
      </c>
      <c r="I50" s="4">
        <v>1226650388</v>
      </c>
      <c r="J50" s="4" t="s">
        <v>135</v>
      </c>
      <c r="K50" s="4" t="s">
        <v>136</v>
      </c>
      <c r="L50" s="6">
        <v>1503.5</v>
      </c>
      <c r="M50" s="6">
        <v>1503.5</v>
      </c>
      <c r="N50" s="4"/>
      <c r="O50" s="5">
        <v>43472</v>
      </c>
      <c r="P50" s="4" t="s">
        <v>31</v>
      </c>
    </row>
    <row r="51" spans="1:16">
      <c r="A51" s="4" t="s">
        <v>17</v>
      </c>
      <c r="B51" s="5">
        <v>43434</v>
      </c>
      <c r="C51" s="4" t="str">
        <f>"PA18-0000099"</f>
        <v>PA18-0000099</v>
      </c>
      <c r="D51" s="4">
        <v>130394697</v>
      </c>
      <c r="E51" s="5">
        <v>43448</v>
      </c>
      <c r="F51" s="4">
        <v>4977</v>
      </c>
      <c r="G51" s="4">
        <v>3906</v>
      </c>
      <c r="H51" s="4" t="s">
        <v>137</v>
      </c>
      <c r="I51" s="4">
        <v>1524850383</v>
      </c>
      <c r="J51" s="4" t="s">
        <v>138</v>
      </c>
      <c r="K51" s="4" t="s">
        <v>139</v>
      </c>
      <c r="L51" s="4">
        <v>603.9</v>
      </c>
      <c r="M51" s="4">
        <v>495</v>
      </c>
      <c r="N51" s="5">
        <v>43465</v>
      </c>
      <c r="O51" s="5">
        <v>43500</v>
      </c>
      <c r="P51" s="4" t="s">
        <v>140</v>
      </c>
    </row>
    <row r="52" spans="1:16">
      <c r="A52" s="4" t="s">
        <v>17</v>
      </c>
      <c r="B52" s="5">
        <v>43434</v>
      </c>
      <c r="C52" s="4" t="str">
        <f>"870 PA"</f>
        <v>870 PA</v>
      </c>
      <c r="D52" s="4">
        <v>132356757</v>
      </c>
      <c r="E52" s="5">
        <v>43447</v>
      </c>
      <c r="F52" s="4">
        <v>4959</v>
      </c>
      <c r="G52" s="4">
        <v>3980</v>
      </c>
      <c r="H52" s="4" t="s">
        <v>141</v>
      </c>
      <c r="I52" s="4">
        <v>2690880402</v>
      </c>
      <c r="J52" s="4" t="s">
        <v>142</v>
      </c>
      <c r="K52" s="4" t="s">
        <v>143</v>
      </c>
      <c r="L52" s="6">
        <v>1376.87</v>
      </c>
      <c r="M52" s="6">
        <v>1311.3</v>
      </c>
      <c r="N52" s="5">
        <v>43464</v>
      </c>
      <c r="O52" s="5">
        <v>43472</v>
      </c>
      <c r="P52" s="4" t="s">
        <v>31</v>
      </c>
    </row>
    <row r="53" spans="1:16">
      <c r="A53" s="4" t="s">
        <v>17</v>
      </c>
      <c r="B53" s="5">
        <v>43434</v>
      </c>
      <c r="C53" s="4" t="str">
        <f>"122/B"</f>
        <v>122/B</v>
      </c>
      <c r="D53" s="4">
        <v>134259078</v>
      </c>
      <c r="E53" s="5">
        <v>43453</v>
      </c>
      <c r="F53" s="4">
        <v>5031</v>
      </c>
      <c r="G53" s="4">
        <v>4069</v>
      </c>
      <c r="H53" s="4" t="s">
        <v>144</v>
      </c>
      <c r="I53" s="4">
        <v>1209290293</v>
      </c>
      <c r="J53" s="4" t="s">
        <v>145</v>
      </c>
      <c r="K53" s="4" t="s">
        <v>146</v>
      </c>
      <c r="L53" s="4">
        <v>309.61</v>
      </c>
      <c r="M53" s="4">
        <v>309.61</v>
      </c>
      <c r="N53" s="4"/>
      <c r="O53" s="5">
        <v>43473</v>
      </c>
      <c r="P53" s="4" t="s">
        <v>31</v>
      </c>
    </row>
    <row r="54" spans="1:16">
      <c r="A54" s="4" t="s">
        <v>17</v>
      </c>
      <c r="B54" s="5">
        <v>43434</v>
      </c>
      <c r="C54" s="4" t="str">
        <f>"1/2827"</f>
        <v>1/2827</v>
      </c>
      <c r="D54" s="4">
        <v>134168710</v>
      </c>
      <c r="E54" s="5">
        <v>43455</v>
      </c>
      <c r="F54" s="4">
        <v>5094</v>
      </c>
      <c r="G54" s="4">
        <v>6518</v>
      </c>
      <c r="H54" s="4" t="s">
        <v>147</v>
      </c>
      <c r="I54" s="4">
        <v>91137650403</v>
      </c>
      <c r="J54" s="4"/>
      <c r="K54" s="4" t="s">
        <v>148</v>
      </c>
      <c r="L54" s="6">
        <v>6951.44</v>
      </c>
      <c r="M54" s="6">
        <v>6951.44</v>
      </c>
      <c r="N54" s="5">
        <v>43465</v>
      </c>
      <c r="O54" s="5">
        <v>43495</v>
      </c>
      <c r="P54" s="4" t="s">
        <v>21</v>
      </c>
    </row>
    <row r="55" spans="1:16">
      <c r="A55" s="4" t="s">
        <v>17</v>
      </c>
      <c r="B55" s="5">
        <v>43434</v>
      </c>
      <c r="C55" s="4" t="str">
        <f>"1/2943"</f>
        <v>1/2943</v>
      </c>
      <c r="D55" s="4">
        <v>133841905</v>
      </c>
      <c r="E55" s="5">
        <v>43455</v>
      </c>
      <c r="F55" s="4">
        <v>5084</v>
      </c>
      <c r="G55" s="4">
        <v>6518</v>
      </c>
      <c r="H55" s="4" t="s">
        <v>147</v>
      </c>
      <c r="I55" s="4">
        <v>91137650403</v>
      </c>
      <c r="J55" s="4"/>
      <c r="K55" s="4" t="s">
        <v>149</v>
      </c>
      <c r="L55" s="6">
        <v>2000</v>
      </c>
      <c r="M55" s="6">
        <v>2000</v>
      </c>
      <c r="N55" s="5">
        <v>43465</v>
      </c>
      <c r="O55" s="5">
        <v>43495</v>
      </c>
      <c r="P55" s="4" t="s">
        <v>21</v>
      </c>
    </row>
    <row r="56" spans="1:16">
      <c r="A56" s="4" t="s">
        <v>17</v>
      </c>
      <c r="B56" s="5">
        <v>43434</v>
      </c>
      <c r="C56" s="4" t="str">
        <f>"0000123"</f>
        <v>0000123</v>
      </c>
      <c r="D56" s="4">
        <v>131132682</v>
      </c>
      <c r="E56" s="5">
        <v>43444</v>
      </c>
      <c r="F56" s="4">
        <v>4897</v>
      </c>
      <c r="G56" s="4">
        <v>7166</v>
      </c>
      <c r="H56" s="4" t="s">
        <v>150</v>
      </c>
      <c r="I56" s="4">
        <v>1663010385</v>
      </c>
      <c r="J56" s="4" t="s">
        <v>151</v>
      </c>
      <c r="K56" s="4" t="s">
        <v>152</v>
      </c>
      <c r="L56" s="4">
        <v>255.59</v>
      </c>
      <c r="M56" s="4">
        <v>209.5</v>
      </c>
      <c r="N56" s="5">
        <v>43465</v>
      </c>
      <c r="O56" s="5">
        <v>43479</v>
      </c>
      <c r="P56" s="4" t="s">
        <v>68</v>
      </c>
    </row>
    <row r="57" spans="1:16">
      <c r="A57" s="4" t="s">
        <v>17</v>
      </c>
      <c r="B57" s="5">
        <v>43434</v>
      </c>
      <c r="C57" s="4" t="str">
        <f>"00699"</f>
        <v>00699</v>
      </c>
      <c r="D57" s="4">
        <v>131862045</v>
      </c>
      <c r="E57" s="5">
        <v>43452</v>
      </c>
      <c r="F57" s="4">
        <v>5026</v>
      </c>
      <c r="G57" s="4">
        <v>7716</v>
      </c>
      <c r="H57" s="4" t="s">
        <v>153</v>
      </c>
      <c r="I57" s="4">
        <v>1737200384</v>
      </c>
      <c r="J57" s="4" t="s">
        <v>154</v>
      </c>
      <c r="K57" s="4" t="s">
        <v>155</v>
      </c>
      <c r="L57" s="6">
        <v>8330.2800000000007</v>
      </c>
      <c r="M57" s="6">
        <v>7572.98</v>
      </c>
      <c r="N57" s="5">
        <v>43465</v>
      </c>
      <c r="O57" s="5">
        <v>43507</v>
      </c>
      <c r="P57" s="4" t="s">
        <v>31</v>
      </c>
    </row>
    <row r="58" spans="1:16">
      <c r="A58" s="4" t="s">
        <v>17</v>
      </c>
      <c r="B58" s="5">
        <v>43434</v>
      </c>
      <c r="C58" s="4" t="str">
        <f>"7788E"</f>
        <v>7788E</v>
      </c>
      <c r="D58" s="4">
        <v>133959413</v>
      </c>
      <c r="E58" s="5">
        <v>43455</v>
      </c>
      <c r="F58" s="4">
        <v>5091</v>
      </c>
      <c r="G58" s="4">
        <v>7796</v>
      </c>
      <c r="H58" s="4" t="s">
        <v>24</v>
      </c>
      <c r="I58" s="4">
        <v>4105740486</v>
      </c>
      <c r="J58" s="4" t="s">
        <v>25</v>
      </c>
      <c r="K58" s="4" t="s">
        <v>156</v>
      </c>
      <c r="L58" s="4">
        <v>33.869999999999997</v>
      </c>
      <c r="M58" s="4">
        <v>33.869999999999997</v>
      </c>
      <c r="N58" s="5">
        <v>43434</v>
      </c>
      <c r="O58" s="5">
        <v>43510</v>
      </c>
      <c r="P58" s="4" t="s">
        <v>21</v>
      </c>
    </row>
    <row r="59" spans="1:16">
      <c r="A59" s="4" t="s">
        <v>17</v>
      </c>
      <c r="B59" s="5">
        <v>43434</v>
      </c>
      <c r="C59" s="4" t="str">
        <f>"7789E"</f>
        <v>7789E</v>
      </c>
      <c r="D59" s="4">
        <v>133959415</v>
      </c>
      <c r="E59" s="5">
        <v>43455</v>
      </c>
      <c r="F59" s="4">
        <v>5093</v>
      </c>
      <c r="G59" s="4">
        <v>7796</v>
      </c>
      <c r="H59" s="4" t="s">
        <v>24</v>
      </c>
      <c r="I59" s="4">
        <v>4105740486</v>
      </c>
      <c r="J59" s="4" t="s">
        <v>25</v>
      </c>
      <c r="K59" s="4" t="s">
        <v>157</v>
      </c>
      <c r="L59" s="4">
        <v>18.87</v>
      </c>
      <c r="M59" s="4">
        <v>18.87</v>
      </c>
      <c r="N59" s="5">
        <v>43434</v>
      </c>
      <c r="O59" s="5">
        <v>43510</v>
      </c>
      <c r="P59" s="4" t="s">
        <v>21</v>
      </c>
    </row>
    <row r="60" spans="1:16">
      <c r="A60" s="4" t="s">
        <v>17</v>
      </c>
      <c r="B60" s="5">
        <v>43434</v>
      </c>
      <c r="C60" s="4" t="str">
        <f>"800/IEG"</f>
        <v>800/IEG</v>
      </c>
      <c r="D60" s="4">
        <v>133905852</v>
      </c>
      <c r="E60" s="5">
        <v>43452</v>
      </c>
      <c r="F60" s="4">
        <v>5021</v>
      </c>
      <c r="G60" s="4">
        <v>8301</v>
      </c>
      <c r="H60" s="4" t="s">
        <v>28</v>
      </c>
      <c r="I60" s="4">
        <v>2410141200</v>
      </c>
      <c r="J60" s="4" t="s">
        <v>29</v>
      </c>
      <c r="K60" s="4" t="s">
        <v>30</v>
      </c>
      <c r="L60" s="6">
        <v>1983.95</v>
      </c>
      <c r="M60" s="6">
        <v>1889.48</v>
      </c>
      <c r="N60" s="5">
        <v>43465</v>
      </c>
      <c r="O60" s="5">
        <v>43473</v>
      </c>
      <c r="P60" s="4" t="s">
        <v>31</v>
      </c>
    </row>
    <row r="61" spans="1:16">
      <c r="A61" s="4" t="s">
        <v>17</v>
      </c>
      <c r="B61" s="5">
        <v>43434</v>
      </c>
      <c r="C61" s="4" t="str">
        <f>"30089977"</f>
        <v>30089977</v>
      </c>
      <c r="D61" s="4">
        <v>132440930</v>
      </c>
      <c r="E61" s="5">
        <v>43454</v>
      </c>
      <c r="F61" s="4">
        <v>5069</v>
      </c>
      <c r="G61" s="4">
        <v>106860</v>
      </c>
      <c r="H61" s="4" t="s">
        <v>158</v>
      </c>
      <c r="I61" s="4">
        <v>484960588</v>
      </c>
      <c r="J61" s="4" t="s">
        <v>159</v>
      </c>
      <c r="K61" s="4"/>
      <c r="L61" s="4">
        <v>1.71</v>
      </c>
      <c r="M61" s="4">
        <v>1.4</v>
      </c>
      <c r="N61" s="4"/>
      <c r="O61" s="5">
        <v>43525</v>
      </c>
      <c r="P61" s="4" t="s">
        <v>31</v>
      </c>
    </row>
    <row r="62" spans="1:16">
      <c r="A62" s="4" t="s">
        <v>17</v>
      </c>
      <c r="B62" s="5">
        <v>43434</v>
      </c>
      <c r="C62" s="4" t="str">
        <f>"30091292"</f>
        <v>30091292</v>
      </c>
      <c r="D62" s="4">
        <v>132441093</v>
      </c>
      <c r="E62" s="5">
        <v>43445</v>
      </c>
      <c r="F62" s="4">
        <v>4938</v>
      </c>
      <c r="G62" s="4">
        <v>106860</v>
      </c>
      <c r="H62" s="4" t="s">
        <v>158</v>
      </c>
      <c r="I62" s="4">
        <v>484960588</v>
      </c>
      <c r="J62" s="4" t="s">
        <v>159</v>
      </c>
      <c r="K62" s="4" t="s">
        <v>160</v>
      </c>
      <c r="L62" s="6">
        <v>2195.4299999999998</v>
      </c>
      <c r="M62" s="6">
        <v>1799.53</v>
      </c>
      <c r="N62" s="4"/>
      <c r="O62" s="5">
        <v>43525</v>
      </c>
      <c r="P62" s="4" t="s">
        <v>39</v>
      </c>
    </row>
    <row r="63" spans="1:16">
      <c r="A63" s="4" t="s">
        <v>17</v>
      </c>
      <c r="B63" s="5">
        <v>43434</v>
      </c>
      <c r="C63" s="4" t="str">
        <f>"30091296"</f>
        <v>30091296</v>
      </c>
      <c r="D63" s="4">
        <v>132441094</v>
      </c>
      <c r="E63" s="5">
        <v>43448</v>
      </c>
      <c r="F63" s="4">
        <v>4983</v>
      </c>
      <c r="G63" s="4">
        <v>106860</v>
      </c>
      <c r="H63" s="4" t="s">
        <v>158</v>
      </c>
      <c r="I63" s="4">
        <v>484960588</v>
      </c>
      <c r="J63" s="4" t="s">
        <v>159</v>
      </c>
      <c r="K63" s="4" t="s">
        <v>160</v>
      </c>
      <c r="L63" s="4">
        <v>340.49</v>
      </c>
      <c r="M63" s="4">
        <v>279.08999999999997</v>
      </c>
      <c r="N63" s="4"/>
      <c r="O63" s="5">
        <v>43482</v>
      </c>
      <c r="P63" s="4" t="s">
        <v>31</v>
      </c>
    </row>
    <row r="64" spans="1:16">
      <c r="A64" s="4" t="s">
        <v>17</v>
      </c>
      <c r="B64" s="5">
        <v>43434</v>
      </c>
      <c r="C64" s="4" t="str">
        <f>"30091298"</f>
        <v>30091298</v>
      </c>
      <c r="D64" s="4">
        <v>132441095</v>
      </c>
      <c r="E64" s="5">
        <v>43445</v>
      </c>
      <c r="F64" s="4">
        <v>4932</v>
      </c>
      <c r="G64" s="4">
        <v>106860</v>
      </c>
      <c r="H64" s="4" t="s">
        <v>158</v>
      </c>
      <c r="I64" s="4">
        <v>484960588</v>
      </c>
      <c r="J64" s="4" t="s">
        <v>159</v>
      </c>
      <c r="K64" s="4" t="s">
        <v>160</v>
      </c>
      <c r="L64" s="4">
        <v>175.35</v>
      </c>
      <c r="M64" s="4">
        <v>143.72999999999999</v>
      </c>
      <c r="N64" s="4"/>
      <c r="O64" s="5">
        <v>43525</v>
      </c>
      <c r="P64" s="4" t="s">
        <v>21</v>
      </c>
    </row>
    <row r="65" spans="1:16">
      <c r="A65" s="4" t="s">
        <v>17</v>
      </c>
      <c r="B65" s="5">
        <v>43434</v>
      </c>
      <c r="C65" s="4" t="str">
        <f>"30091299"</f>
        <v>30091299</v>
      </c>
      <c r="D65" s="4">
        <v>132441096</v>
      </c>
      <c r="E65" s="5">
        <v>43461</v>
      </c>
      <c r="F65" s="4">
        <v>5108</v>
      </c>
      <c r="G65" s="4">
        <v>106860</v>
      </c>
      <c r="H65" s="4" t="s">
        <v>158</v>
      </c>
      <c r="I65" s="4">
        <v>484960588</v>
      </c>
      <c r="J65" s="4" t="s">
        <v>159</v>
      </c>
      <c r="K65" s="4" t="s">
        <v>161</v>
      </c>
      <c r="L65" s="4">
        <v>1.71</v>
      </c>
      <c r="M65" s="4">
        <v>1.4</v>
      </c>
      <c r="N65" s="4"/>
      <c r="O65" s="5">
        <v>43482</v>
      </c>
      <c r="P65" s="4" t="s">
        <v>162</v>
      </c>
    </row>
    <row r="66" spans="1:16">
      <c r="A66" s="4" t="s">
        <v>17</v>
      </c>
      <c r="B66" s="5">
        <v>43434</v>
      </c>
      <c r="C66" s="4" t="str">
        <f>"30091300"</f>
        <v>30091300</v>
      </c>
      <c r="D66" s="4">
        <v>132441097</v>
      </c>
      <c r="E66" s="5">
        <v>43445</v>
      </c>
      <c r="F66" s="4">
        <v>4933</v>
      </c>
      <c r="G66" s="4">
        <v>106860</v>
      </c>
      <c r="H66" s="4" t="s">
        <v>158</v>
      </c>
      <c r="I66" s="4">
        <v>484960588</v>
      </c>
      <c r="J66" s="4" t="s">
        <v>159</v>
      </c>
      <c r="K66" s="4" t="s">
        <v>160</v>
      </c>
      <c r="L66" s="4">
        <v>577.22</v>
      </c>
      <c r="M66" s="4">
        <v>473.13</v>
      </c>
      <c r="N66" s="4"/>
      <c r="O66" s="5">
        <v>43482</v>
      </c>
      <c r="P66" s="4" t="s">
        <v>21</v>
      </c>
    </row>
    <row r="67" spans="1:16">
      <c r="A67" s="4" t="s">
        <v>17</v>
      </c>
      <c r="B67" s="5">
        <v>43434</v>
      </c>
      <c r="C67" s="4" t="str">
        <f>"30091301"</f>
        <v>30091301</v>
      </c>
      <c r="D67" s="4">
        <v>132441098</v>
      </c>
      <c r="E67" s="5">
        <v>43446</v>
      </c>
      <c r="F67" s="4">
        <v>4940</v>
      </c>
      <c r="G67" s="4">
        <v>106860</v>
      </c>
      <c r="H67" s="4" t="s">
        <v>158</v>
      </c>
      <c r="I67" s="4">
        <v>484960588</v>
      </c>
      <c r="J67" s="4" t="s">
        <v>159</v>
      </c>
      <c r="K67" s="4" t="s">
        <v>161</v>
      </c>
      <c r="L67" s="4">
        <v>1.71</v>
      </c>
      <c r="M67" s="4">
        <v>1.4</v>
      </c>
      <c r="N67" s="4"/>
      <c r="O67" s="5">
        <v>43504</v>
      </c>
      <c r="P67" s="4" t="s">
        <v>163</v>
      </c>
    </row>
    <row r="68" spans="1:16">
      <c r="A68" s="4" t="s">
        <v>17</v>
      </c>
      <c r="B68" s="5">
        <v>43434</v>
      </c>
      <c r="C68" s="4" t="str">
        <f>"30091302"</f>
        <v>30091302</v>
      </c>
      <c r="D68" s="4">
        <v>132441137</v>
      </c>
      <c r="E68" s="5">
        <v>43445</v>
      </c>
      <c r="F68" s="4">
        <v>4931</v>
      </c>
      <c r="G68" s="4">
        <v>106860</v>
      </c>
      <c r="H68" s="4" t="s">
        <v>158</v>
      </c>
      <c r="I68" s="4">
        <v>484960588</v>
      </c>
      <c r="J68" s="4" t="s">
        <v>159</v>
      </c>
      <c r="K68" s="4" t="s">
        <v>160</v>
      </c>
      <c r="L68" s="6">
        <v>1064.0999999999999</v>
      </c>
      <c r="M68" s="4">
        <v>872.21</v>
      </c>
      <c r="N68" s="4"/>
      <c r="O68" s="5">
        <v>43525</v>
      </c>
      <c r="P68" s="4" t="s">
        <v>21</v>
      </c>
    </row>
    <row r="69" spans="1:16">
      <c r="A69" s="4" t="s">
        <v>17</v>
      </c>
      <c r="B69" s="5">
        <v>43434</v>
      </c>
      <c r="C69" s="4" t="str">
        <f>"30091303"</f>
        <v>30091303</v>
      </c>
      <c r="D69" s="4">
        <v>132441138</v>
      </c>
      <c r="E69" s="5">
        <v>43461</v>
      </c>
      <c r="F69" s="4">
        <v>5104</v>
      </c>
      <c r="G69" s="4">
        <v>106860</v>
      </c>
      <c r="H69" s="4" t="s">
        <v>158</v>
      </c>
      <c r="I69" s="4">
        <v>484960588</v>
      </c>
      <c r="J69" s="4" t="s">
        <v>159</v>
      </c>
      <c r="K69" s="4" t="s">
        <v>160</v>
      </c>
      <c r="L69" s="4">
        <v>111.23</v>
      </c>
      <c r="M69" s="4">
        <v>91.17</v>
      </c>
      <c r="N69" s="4"/>
      <c r="O69" s="5">
        <v>43525</v>
      </c>
      <c r="P69" s="4" t="s">
        <v>35</v>
      </c>
    </row>
    <row r="70" spans="1:16">
      <c r="A70" s="4" t="s">
        <v>17</v>
      </c>
      <c r="B70" s="5">
        <v>43434</v>
      </c>
      <c r="C70" s="4" t="str">
        <f>"698/07"</f>
        <v>698/07</v>
      </c>
      <c r="D70" s="4">
        <v>206803676</v>
      </c>
      <c r="E70" s="5">
        <v>43489</v>
      </c>
      <c r="F70" s="4">
        <v>191</v>
      </c>
      <c r="G70" s="4">
        <v>106863</v>
      </c>
      <c r="H70" s="4" t="s">
        <v>164</v>
      </c>
      <c r="I70" s="4">
        <v>1913040406</v>
      </c>
      <c r="J70" s="4" t="s">
        <v>165</v>
      </c>
      <c r="K70" s="4" t="s">
        <v>166</v>
      </c>
      <c r="L70" s="4">
        <v>541.79999999999995</v>
      </c>
      <c r="M70" s="4">
        <v>516</v>
      </c>
      <c r="N70" s="5">
        <v>43465</v>
      </c>
      <c r="O70" s="5">
        <v>43501</v>
      </c>
      <c r="P70" s="4" t="s">
        <v>31</v>
      </c>
    </row>
    <row r="71" spans="1:16">
      <c r="A71" s="4" t="s">
        <v>17</v>
      </c>
      <c r="B71" s="5">
        <v>43433</v>
      </c>
      <c r="C71" s="4" t="str">
        <f>"01/PA"</f>
        <v>01/PA</v>
      </c>
      <c r="D71" s="4">
        <v>131412209</v>
      </c>
      <c r="E71" s="5">
        <v>43444</v>
      </c>
      <c r="F71" s="4">
        <v>4898</v>
      </c>
      <c r="G71" s="4">
        <v>108377</v>
      </c>
      <c r="H71" s="4" t="s">
        <v>167</v>
      </c>
      <c r="I71" s="4" t="s">
        <v>168</v>
      </c>
      <c r="J71" s="4" t="s">
        <v>169</v>
      </c>
      <c r="K71" s="4" t="s">
        <v>127</v>
      </c>
      <c r="L71" s="4">
        <v>121.83</v>
      </c>
      <c r="M71" s="4">
        <v>121.83</v>
      </c>
      <c r="N71" s="4"/>
      <c r="O71" s="5">
        <v>43481</v>
      </c>
      <c r="P71" s="4" t="s">
        <v>68</v>
      </c>
    </row>
    <row r="72" spans="1:16">
      <c r="A72" s="4" t="s">
        <v>17</v>
      </c>
      <c r="B72" s="5">
        <v>43432</v>
      </c>
      <c r="C72" s="4" t="str">
        <f>"10/PA"</f>
        <v>10/PA</v>
      </c>
      <c r="D72" s="4">
        <v>130280231</v>
      </c>
      <c r="E72" s="5">
        <v>43439</v>
      </c>
      <c r="F72" s="4">
        <v>4865</v>
      </c>
      <c r="G72" s="4">
        <v>108316</v>
      </c>
      <c r="H72" s="4" t="s">
        <v>170</v>
      </c>
      <c r="I72" s="4">
        <v>3699741207</v>
      </c>
      <c r="J72" s="4" t="s">
        <v>171</v>
      </c>
      <c r="K72" s="4" t="s">
        <v>172</v>
      </c>
      <c r="L72" s="6">
        <v>3395.71</v>
      </c>
      <c r="M72" s="6">
        <v>3234.01</v>
      </c>
      <c r="N72" s="5">
        <v>43465</v>
      </c>
      <c r="O72" s="5">
        <v>43481</v>
      </c>
      <c r="P72" s="4" t="s">
        <v>68</v>
      </c>
    </row>
    <row r="73" spans="1:16">
      <c r="A73" s="4" t="s">
        <v>17</v>
      </c>
      <c r="B73" s="5">
        <v>43432</v>
      </c>
      <c r="C73" s="4" t="str">
        <f>"13/PA"</f>
        <v>13/PA</v>
      </c>
      <c r="D73" s="4">
        <v>130280733</v>
      </c>
      <c r="E73" s="5">
        <v>43439</v>
      </c>
      <c r="F73" s="4">
        <v>4864</v>
      </c>
      <c r="G73" s="4">
        <v>108316</v>
      </c>
      <c r="H73" s="4" t="s">
        <v>170</v>
      </c>
      <c r="I73" s="4">
        <v>3699741207</v>
      </c>
      <c r="J73" s="4" t="s">
        <v>171</v>
      </c>
      <c r="K73" s="4" t="s">
        <v>172</v>
      </c>
      <c r="L73" s="6">
        <v>17845.38</v>
      </c>
      <c r="M73" s="6">
        <v>16995.599999999999</v>
      </c>
      <c r="N73" s="5">
        <v>43465</v>
      </c>
      <c r="O73" s="5">
        <v>43481</v>
      </c>
      <c r="P73" s="4" t="s">
        <v>68</v>
      </c>
    </row>
    <row r="74" spans="1:16">
      <c r="A74" s="4" t="s">
        <v>17</v>
      </c>
      <c r="B74" s="5">
        <v>43432</v>
      </c>
      <c r="C74" s="4" t="str">
        <f>"4/927"</f>
        <v>4/927</v>
      </c>
      <c r="D74" s="4">
        <v>130235813</v>
      </c>
      <c r="E74" s="5">
        <v>43448</v>
      </c>
      <c r="F74" s="4">
        <v>4978</v>
      </c>
      <c r="G74" s="4">
        <v>108382</v>
      </c>
      <c r="H74" s="4" t="s">
        <v>173</v>
      </c>
      <c r="I74" s="4">
        <v>2044780019</v>
      </c>
      <c r="J74" s="4" t="s">
        <v>174</v>
      </c>
      <c r="K74" s="4" t="s">
        <v>175</v>
      </c>
      <c r="L74" s="4">
        <v>522.77</v>
      </c>
      <c r="M74" s="4">
        <v>428.5</v>
      </c>
      <c r="N74" s="5">
        <v>43462</v>
      </c>
      <c r="O74" s="5">
        <v>43515</v>
      </c>
      <c r="P74" s="4" t="s">
        <v>176</v>
      </c>
    </row>
    <row r="75" spans="1:16">
      <c r="A75" s="4" t="s">
        <v>17</v>
      </c>
      <c r="B75" s="5">
        <v>43426</v>
      </c>
      <c r="C75" s="4" t="str">
        <f>"1/PA"</f>
        <v>1/PA</v>
      </c>
      <c r="D75" s="4">
        <v>136908966</v>
      </c>
      <c r="E75" s="5">
        <v>43481</v>
      </c>
      <c r="F75" s="4">
        <v>56</v>
      </c>
      <c r="G75" s="4">
        <v>105477</v>
      </c>
      <c r="H75" s="4" t="s">
        <v>177</v>
      </c>
      <c r="I75" s="4"/>
      <c r="J75" s="4" t="s">
        <v>178</v>
      </c>
      <c r="K75" s="4" t="s">
        <v>179</v>
      </c>
      <c r="L75" s="6">
        <v>8540</v>
      </c>
      <c r="M75" s="6">
        <v>7000</v>
      </c>
      <c r="N75" s="5">
        <v>43435</v>
      </c>
      <c r="O75" s="5">
        <v>43481</v>
      </c>
      <c r="P75" s="4" t="s">
        <v>59</v>
      </c>
    </row>
    <row r="76" spans="1:16">
      <c r="A76" s="4" t="s">
        <v>17</v>
      </c>
      <c r="B76" s="5">
        <v>43422</v>
      </c>
      <c r="C76" s="4" t="str">
        <f>"113/EL"</f>
        <v>113/EL</v>
      </c>
      <c r="D76" s="4">
        <v>132631988</v>
      </c>
      <c r="E76" s="5">
        <v>43447</v>
      </c>
      <c r="F76" s="4">
        <v>4966</v>
      </c>
      <c r="G76" s="4">
        <v>2456</v>
      </c>
      <c r="H76" s="4" t="s">
        <v>36</v>
      </c>
      <c r="I76" s="4">
        <v>1373390382</v>
      </c>
      <c r="J76" s="4" t="s">
        <v>37</v>
      </c>
      <c r="K76" s="4" t="s">
        <v>180</v>
      </c>
      <c r="L76" s="4">
        <v>298.89999999999998</v>
      </c>
      <c r="M76" s="4">
        <v>245</v>
      </c>
      <c r="N76" s="5">
        <v>43422</v>
      </c>
      <c r="O76" s="5">
        <v>43472</v>
      </c>
      <c r="P76" s="4" t="s">
        <v>31</v>
      </c>
    </row>
    <row r="77" spans="1:16">
      <c r="A77" s="4" t="s">
        <v>17</v>
      </c>
      <c r="B77" s="5">
        <v>43418</v>
      </c>
      <c r="C77" s="4" t="str">
        <f>"000014-2018-FAT PA"</f>
        <v>000014-2018-FAT PA</v>
      </c>
      <c r="D77" s="4">
        <v>127878028</v>
      </c>
      <c r="E77" s="5">
        <v>43430</v>
      </c>
      <c r="F77" s="4">
        <v>4750</v>
      </c>
      <c r="G77" s="4">
        <v>2880</v>
      </c>
      <c r="H77" s="4" t="s">
        <v>86</v>
      </c>
      <c r="I77" s="4" t="s">
        <v>87</v>
      </c>
      <c r="J77" s="4" t="s">
        <v>88</v>
      </c>
      <c r="K77" s="4" t="s">
        <v>117</v>
      </c>
      <c r="L77" s="4">
        <v>342.34</v>
      </c>
      <c r="M77" s="4">
        <v>342.34</v>
      </c>
      <c r="N77" s="4"/>
      <c r="O77" s="5">
        <v>43578</v>
      </c>
      <c r="P77" s="4" t="s">
        <v>21</v>
      </c>
    </row>
    <row r="78" spans="1:16">
      <c r="A78" s="4" t="s">
        <v>17</v>
      </c>
      <c r="B78" s="5">
        <v>43413</v>
      </c>
      <c r="C78" s="4" t="str">
        <f>"1/PA"</f>
        <v>1/PA</v>
      </c>
      <c r="D78" s="4">
        <v>127668429</v>
      </c>
      <c r="E78" s="5">
        <v>43424</v>
      </c>
      <c r="F78" s="4">
        <v>4654</v>
      </c>
      <c r="G78" s="4">
        <v>7021</v>
      </c>
      <c r="H78" s="4" t="s">
        <v>181</v>
      </c>
      <c r="I78" s="4" t="s">
        <v>182</v>
      </c>
      <c r="J78" s="4" t="s">
        <v>183</v>
      </c>
      <c r="K78" s="4"/>
      <c r="L78" s="6">
        <v>7176.64</v>
      </c>
      <c r="M78" s="6">
        <v>6141.64</v>
      </c>
      <c r="N78" s="5">
        <v>43413</v>
      </c>
      <c r="O78" s="5">
        <v>43494</v>
      </c>
      <c r="P78" s="4" t="s">
        <v>184</v>
      </c>
    </row>
    <row r="79" spans="1:16">
      <c r="A79" s="4" t="s">
        <v>17</v>
      </c>
      <c r="B79" s="5">
        <v>43406</v>
      </c>
      <c r="C79" s="4" t="str">
        <f>"30"</f>
        <v>30</v>
      </c>
      <c r="D79" s="4">
        <v>132639376</v>
      </c>
      <c r="E79" s="5">
        <v>43451</v>
      </c>
      <c r="F79" s="4">
        <v>4998</v>
      </c>
      <c r="G79" s="4">
        <v>2400</v>
      </c>
      <c r="H79" s="4" t="s">
        <v>185</v>
      </c>
      <c r="I79" s="4">
        <v>1324150489</v>
      </c>
      <c r="J79" s="4" t="s">
        <v>186</v>
      </c>
      <c r="K79" s="4" t="s">
        <v>187</v>
      </c>
      <c r="L79" s="6">
        <v>5490</v>
      </c>
      <c r="M79" s="6">
        <v>4500</v>
      </c>
      <c r="N79" s="5">
        <v>43465</v>
      </c>
      <c r="O79" s="5">
        <v>43749</v>
      </c>
      <c r="P79" s="4" t="s">
        <v>59</v>
      </c>
    </row>
    <row r="80" spans="1:16">
      <c r="A80" s="4" t="s">
        <v>17</v>
      </c>
      <c r="B80" s="5">
        <v>43404</v>
      </c>
      <c r="C80" s="4" t="str">
        <f>"00633"</f>
        <v>00633</v>
      </c>
      <c r="D80" s="4">
        <v>442981557</v>
      </c>
      <c r="E80" s="5">
        <v>43532</v>
      </c>
      <c r="F80" s="4">
        <v>587</v>
      </c>
      <c r="G80" s="4">
        <v>7716</v>
      </c>
      <c r="H80" s="4" t="s">
        <v>153</v>
      </c>
      <c r="I80" s="4">
        <v>1737200384</v>
      </c>
      <c r="J80" s="4" t="s">
        <v>154</v>
      </c>
      <c r="K80" s="4"/>
      <c r="L80" s="6">
        <v>8999.1</v>
      </c>
      <c r="M80" s="6">
        <v>8181</v>
      </c>
      <c r="N80" s="5">
        <v>43434</v>
      </c>
      <c r="O80" s="5">
        <v>43546</v>
      </c>
      <c r="P80" s="4" t="s">
        <v>31</v>
      </c>
    </row>
    <row r="81" spans="1:16">
      <c r="A81" s="4" t="s">
        <v>17</v>
      </c>
      <c r="B81" s="5">
        <v>43404</v>
      </c>
      <c r="C81" s="4" t="str">
        <f>"29979522"</f>
        <v>29979522</v>
      </c>
      <c r="D81" s="4">
        <v>126613511</v>
      </c>
      <c r="E81" s="5">
        <v>43417</v>
      </c>
      <c r="F81" s="4">
        <v>4591</v>
      </c>
      <c r="G81" s="4">
        <v>106860</v>
      </c>
      <c r="H81" s="4" t="s">
        <v>158</v>
      </c>
      <c r="I81" s="4">
        <v>484960588</v>
      </c>
      <c r="J81" s="4" t="s">
        <v>159</v>
      </c>
      <c r="K81" s="4" t="s">
        <v>188</v>
      </c>
      <c r="L81" s="4">
        <v>1.71</v>
      </c>
      <c r="M81" s="4">
        <v>1.4</v>
      </c>
      <c r="N81" s="4"/>
      <c r="O81" s="5">
        <v>43504</v>
      </c>
      <c r="P81" s="4" t="s">
        <v>31</v>
      </c>
    </row>
    <row r="82" spans="1:16">
      <c r="A82" s="4" t="s">
        <v>17</v>
      </c>
      <c r="B82" s="5">
        <v>43404</v>
      </c>
      <c r="C82" s="4" t="str">
        <f>"29980857"</f>
        <v>29980857</v>
      </c>
      <c r="D82" s="4">
        <v>126613620</v>
      </c>
      <c r="E82" s="5">
        <v>43416</v>
      </c>
      <c r="F82" s="4">
        <v>4572</v>
      </c>
      <c r="G82" s="4">
        <v>106860</v>
      </c>
      <c r="H82" s="4" t="s">
        <v>158</v>
      </c>
      <c r="I82" s="4">
        <v>484960588</v>
      </c>
      <c r="J82" s="4" t="s">
        <v>159</v>
      </c>
      <c r="K82" s="4" t="s">
        <v>189</v>
      </c>
      <c r="L82" s="6">
        <v>2139.6799999999998</v>
      </c>
      <c r="M82" s="6">
        <v>1753.84</v>
      </c>
      <c r="N82" s="4"/>
      <c r="O82" s="5">
        <v>43504</v>
      </c>
      <c r="P82" s="4" t="s">
        <v>39</v>
      </c>
    </row>
    <row r="83" spans="1:16">
      <c r="A83" s="4" t="s">
        <v>17</v>
      </c>
      <c r="B83" s="5">
        <v>43404</v>
      </c>
      <c r="C83" s="4" t="str">
        <f>"29980863"</f>
        <v>29980863</v>
      </c>
      <c r="D83" s="4">
        <v>126613893</v>
      </c>
      <c r="E83" s="5">
        <v>43416</v>
      </c>
      <c r="F83" s="4">
        <v>4582</v>
      </c>
      <c r="G83" s="4">
        <v>106860</v>
      </c>
      <c r="H83" s="4" t="s">
        <v>158</v>
      </c>
      <c r="I83" s="4">
        <v>484960588</v>
      </c>
      <c r="J83" s="4" t="s">
        <v>159</v>
      </c>
      <c r="K83" s="4" t="s">
        <v>189</v>
      </c>
      <c r="L83" s="4">
        <v>325.86</v>
      </c>
      <c r="M83" s="4">
        <v>267.10000000000002</v>
      </c>
      <c r="N83" s="4"/>
      <c r="O83" s="5">
        <v>43504</v>
      </c>
      <c r="P83" s="4" t="s">
        <v>21</v>
      </c>
    </row>
    <row r="84" spans="1:16">
      <c r="A84" s="4" t="s">
        <v>17</v>
      </c>
      <c r="B84" s="5">
        <v>43404</v>
      </c>
      <c r="C84" s="4" t="str">
        <f>"29980867"</f>
        <v>29980867</v>
      </c>
      <c r="D84" s="4">
        <v>126613897</v>
      </c>
      <c r="E84" s="5">
        <v>43416</v>
      </c>
      <c r="F84" s="4">
        <v>4584</v>
      </c>
      <c r="G84" s="4">
        <v>106860</v>
      </c>
      <c r="H84" s="4" t="s">
        <v>158</v>
      </c>
      <c r="I84" s="4">
        <v>484960588</v>
      </c>
      <c r="J84" s="4" t="s">
        <v>159</v>
      </c>
      <c r="K84" s="4" t="s">
        <v>189</v>
      </c>
      <c r="L84" s="6">
        <v>1272.06</v>
      </c>
      <c r="M84" s="6">
        <v>1042.67</v>
      </c>
      <c r="N84" s="4"/>
      <c r="O84" s="5">
        <v>43504</v>
      </c>
      <c r="P84" s="4" t="s">
        <v>21</v>
      </c>
    </row>
    <row r="85" spans="1:16">
      <c r="A85" s="4" t="s">
        <v>17</v>
      </c>
      <c r="B85" s="5">
        <v>43404</v>
      </c>
      <c r="C85" s="4" t="str">
        <f>"29980868"</f>
        <v>29980868</v>
      </c>
      <c r="D85" s="4">
        <v>126613898</v>
      </c>
      <c r="E85" s="5">
        <v>43417</v>
      </c>
      <c r="F85" s="4">
        <v>4589</v>
      </c>
      <c r="G85" s="4">
        <v>106860</v>
      </c>
      <c r="H85" s="4" t="s">
        <v>158</v>
      </c>
      <c r="I85" s="4">
        <v>484960588</v>
      </c>
      <c r="J85" s="4" t="s">
        <v>159</v>
      </c>
      <c r="K85" s="4" t="s">
        <v>188</v>
      </c>
      <c r="L85" s="4">
        <v>1.71</v>
      </c>
      <c r="M85" s="4">
        <v>1.4</v>
      </c>
      <c r="N85" s="4"/>
      <c r="O85" s="5">
        <v>43504</v>
      </c>
      <c r="P85" s="4" t="s">
        <v>35</v>
      </c>
    </row>
    <row r="86" spans="1:16">
      <c r="A86" s="4" t="s">
        <v>17</v>
      </c>
      <c r="B86" s="5">
        <v>43403</v>
      </c>
      <c r="C86" s="4" t="str">
        <f>"539"</f>
        <v>539</v>
      </c>
      <c r="D86" s="4">
        <v>126844022</v>
      </c>
      <c r="E86" s="5">
        <v>43424</v>
      </c>
      <c r="F86" s="4">
        <v>4664</v>
      </c>
      <c r="G86" s="4">
        <v>6090</v>
      </c>
      <c r="H86" s="4" t="s">
        <v>190</v>
      </c>
      <c r="I86" s="4">
        <v>1564380382</v>
      </c>
      <c r="J86" s="4" t="s">
        <v>191</v>
      </c>
      <c r="K86" s="4" t="s">
        <v>192</v>
      </c>
      <c r="L86" s="4">
        <v>26.84</v>
      </c>
      <c r="M86" s="4">
        <v>22</v>
      </c>
      <c r="N86" s="5">
        <v>43465</v>
      </c>
      <c r="O86" s="5">
        <v>43500</v>
      </c>
      <c r="P86" s="4" t="s">
        <v>140</v>
      </c>
    </row>
    <row r="87" spans="1:16">
      <c r="A87" s="4" t="s">
        <v>17</v>
      </c>
      <c r="B87" s="5">
        <v>43399</v>
      </c>
      <c r="C87" s="4" t="str">
        <f>"519"</f>
        <v>519</v>
      </c>
      <c r="D87" s="4">
        <v>126844006</v>
      </c>
      <c r="E87" s="5">
        <v>43424</v>
      </c>
      <c r="F87" s="4">
        <v>4665</v>
      </c>
      <c r="G87" s="4">
        <v>6090</v>
      </c>
      <c r="H87" s="4" t="s">
        <v>190</v>
      </c>
      <c r="I87" s="4">
        <v>1564380382</v>
      </c>
      <c r="J87" s="4" t="s">
        <v>191</v>
      </c>
      <c r="K87" s="4" t="s">
        <v>193</v>
      </c>
      <c r="L87" s="6">
        <v>1525</v>
      </c>
      <c r="M87" s="6">
        <v>1250</v>
      </c>
      <c r="N87" s="5">
        <v>43465</v>
      </c>
      <c r="O87" s="5">
        <v>43500</v>
      </c>
      <c r="P87" s="4" t="s">
        <v>140</v>
      </c>
    </row>
    <row r="88" spans="1:16">
      <c r="A88" s="4" t="s">
        <v>17</v>
      </c>
      <c r="B88" s="5">
        <v>43399</v>
      </c>
      <c r="C88" s="4" t="str">
        <f>"595 PA"</f>
        <v>595 PA</v>
      </c>
      <c r="D88" s="4">
        <v>125704091</v>
      </c>
      <c r="E88" s="5">
        <v>43412</v>
      </c>
      <c r="F88" s="4">
        <v>4554</v>
      </c>
      <c r="G88" s="4">
        <v>108196</v>
      </c>
      <c r="H88" s="4" t="s">
        <v>194</v>
      </c>
      <c r="I88" s="4">
        <v>2098391200</v>
      </c>
      <c r="J88" s="4" t="s">
        <v>195</v>
      </c>
      <c r="K88" s="4" t="s">
        <v>196</v>
      </c>
      <c r="L88" s="6">
        <v>1366.4</v>
      </c>
      <c r="M88" s="6">
        <v>1120</v>
      </c>
      <c r="N88" s="5">
        <v>43434</v>
      </c>
      <c r="O88" s="5">
        <v>43493</v>
      </c>
      <c r="P88" s="4" t="s">
        <v>140</v>
      </c>
    </row>
    <row r="89" spans="1:16">
      <c r="A89" s="4" t="s">
        <v>17</v>
      </c>
      <c r="B89" s="5">
        <v>43398</v>
      </c>
      <c r="C89" s="4" t="str">
        <f>"FATTPA 13_18"</f>
        <v>FATTPA 13_18</v>
      </c>
      <c r="D89" s="4">
        <v>124825305</v>
      </c>
      <c r="E89" s="5">
        <v>43416</v>
      </c>
      <c r="F89" s="4">
        <v>4576</v>
      </c>
      <c r="G89" s="4">
        <v>107925</v>
      </c>
      <c r="H89" s="4" t="s">
        <v>197</v>
      </c>
      <c r="I89" s="4" t="s">
        <v>198</v>
      </c>
      <c r="J89" s="4" t="s">
        <v>199</v>
      </c>
      <c r="K89" s="4"/>
      <c r="L89" s="4">
        <v>405.22</v>
      </c>
      <c r="M89" s="4">
        <v>405.22</v>
      </c>
      <c r="N89" s="5">
        <v>43398</v>
      </c>
      <c r="O89" s="5">
        <v>43481</v>
      </c>
      <c r="P89" s="4" t="s">
        <v>68</v>
      </c>
    </row>
    <row r="90" spans="1:16">
      <c r="A90" s="4" t="s">
        <v>45</v>
      </c>
      <c r="B90" s="5">
        <v>43391</v>
      </c>
      <c r="C90" s="4" t="str">
        <f>"FatPAM 1"</f>
        <v>FatPAM 1</v>
      </c>
      <c r="D90" s="4">
        <v>123787888</v>
      </c>
      <c r="E90" s="5">
        <v>43411</v>
      </c>
      <c r="F90" s="4">
        <v>4536</v>
      </c>
      <c r="G90" s="4">
        <v>7556</v>
      </c>
      <c r="H90" s="4" t="s">
        <v>61</v>
      </c>
      <c r="I90" s="4">
        <v>1576070898</v>
      </c>
      <c r="J90" s="4" t="s">
        <v>62</v>
      </c>
      <c r="K90" s="4" t="s">
        <v>200</v>
      </c>
      <c r="L90" s="6">
        <v>-80381.649999999994</v>
      </c>
      <c r="M90" s="6">
        <v>-65886.600000000006</v>
      </c>
      <c r="N90" s="4"/>
      <c r="O90" s="5">
        <v>43563</v>
      </c>
      <c r="P90" s="4" t="s">
        <v>64</v>
      </c>
    </row>
    <row r="91" spans="1:16">
      <c r="A91" s="4" t="s">
        <v>45</v>
      </c>
      <c r="B91" s="5">
        <v>43391</v>
      </c>
      <c r="C91" s="4" t="str">
        <f>"FATTPA 9_18"</f>
        <v>FATTPA 9_18</v>
      </c>
      <c r="D91" s="4">
        <v>123784566</v>
      </c>
      <c r="E91" s="5">
        <v>43411</v>
      </c>
      <c r="F91" s="4">
        <v>4543</v>
      </c>
      <c r="G91" s="4">
        <v>108214</v>
      </c>
      <c r="H91" s="4" t="s">
        <v>201</v>
      </c>
      <c r="I91" s="4" t="s">
        <v>202</v>
      </c>
      <c r="J91" s="4" t="s">
        <v>203</v>
      </c>
      <c r="K91" s="4" t="s">
        <v>204</v>
      </c>
      <c r="L91" s="6">
        <v>-5599.8</v>
      </c>
      <c r="M91" s="6">
        <v>-4717.1099999999997</v>
      </c>
      <c r="N91" s="5">
        <v>43391</v>
      </c>
      <c r="O91" s="5">
        <v>43482</v>
      </c>
      <c r="P91" s="4" t="s">
        <v>59</v>
      </c>
    </row>
    <row r="92" spans="1:16">
      <c r="A92" s="4" t="s">
        <v>45</v>
      </c>
      <c r="B92" s="5">
        <v>43385</v>
      </c>
      <c r="C92" s="4" t="str">
        <f>"5750645716"</f>
        <v>5750645716</v>
      </c>
      <c r="D92" s="4">
        <v>123194624</v>
      </c>
      <c r="E92" s="5">
        <v>43390</v>
      </c>
      <c r="F92" s="4">
        <v>4375</v>
      </c>
      <c r="G92" s="4">
        <v>6611</v>
      </c>
      <c r="H92" s="4" t="s">
        <v>205</v>
      </c>
      <c r="I92" s="4">
        <v>8526440154</v>
      </c>
      <c r="J92" s="4" t="s">
        <v>206</v>
      </c>
      <c r="K92" s="4" t="s">
        <v>207</v>
      </c>
      <c r="L92" s="4">
        <v>-407.04</v>
      </c>
      <c r="M92" s="4">
        <v>-333.64</v>
      </c>
      <c r="N92" s="5">
        <v>43426</v>
      </c>
      <c r="O92" s="5">
        <v>43489</v>
      </c>
      <c r="P92" s="4" t="s">
        <v>163</v>
      </c>
    </row>
    <row r="93" spans="1:16">
      <c r="A93" s="4" t="s">
        <v>45</v>
      </c>
      <c r="B93" s="5">
        <v>43384</v>
      </c>
      <c r="C93" s="4" t="str">
        <f>"181178060"</f>
        <v>181178060</v>
      </c>
      <c r="D93" s="4">
        <v>123152381</v>
      </c>
      <c r="E93" s="5">
        <v>43390</v>
      </c>
      <c r="F93" s="4">
        <v>4379</v>
      </c>
      <c r="G93" s="4">
        <v>107435</v>
      </c>
      <c r="H93" s="4" t="s">
        <v>208</v>
      </c>
      <c r="I93" s="4">
        <v>1565370382</v>
      </c>
      <c r="J93" s="4" t="s">
        <v>209</v>
      </c>
      <c r="K93" s="4" t="s">
        <v>210</v>
      </c>
      <c r="L93" s="4">
        <v>-8.4700000000000006</v>
      </c>
      <c r="M93" s="4">
        <v>-6.94</v>
      </c>
      <c r="N93" s="5">
        <v>43420</v>
      </c>
      <c r="O93" s="5">
        <v>43663</v>
      </c>
      <c r="P93" s="4" t="s">
        <v>163</v>
      </c>
    </row>
    <row r="94" spans="1:16">
      <c r="A94" s="4" t="s">
        <v>45</v>
      </c>
      <c r="B94" s="5">
        <v>43384</v>
      </c>
      <c r="C94" s="4" t="str">
        <f>"181178067"</f>
        <v>181178067</v>
      </c>
      <c r="D94" s="4">
        <v>123152365</v>
      </c>
      <c r="E94" s="5">
        <v>43390</v>
      </c>
      <c r="F94" s="4">
        <v>4388</v>
      </c>
      <c r="G94" s="4">
        <v>107435</v>
      </c>
      <c r="H94" s="4" t="s">
        <v>208</v>
      </c>
      <c r="I94" s="4">
        <v>1565370382</v>
      </c>
      <c r="J94" s="4" t="s">
        <v>209</v>
      </c>
      <c r="K94" s="4" t="s">
        <v>211</v>
      </c>
      <c r="L94" s="4">
        <v>-271.43</v>
      </c>
      <c r="M94" s="4">
        <v>-222.48</v>
      </c>
      <c r="N94" s="5">
        <v>43420</v>
      </c>
      <c r="O94" s="5">
        <v>43663</v>
      </c>
      <c r="P94" s="4" t="s">
        <v>163</v>
      </c>
    </row>
    <row r="95" spans="1:16">
      <c r="A95" s="4" t="s">
        <v>45</v>
      </c>
      <c r="B95" s="5">
        <v>43384</v>
      </c>
      <c r="C95" s="4" t="str">
        <f>"181178069"</f>
        <v>181178069</v>
      </c>
      <c r="D95" s="4">
        <v>123152359</v>
      </c>
      <c r="E95" s="5">
        <v>43390</v>
      </c>
      <c r="F95" s="4">
        <v>4389</v>
      </c>
      <c r="G95" s="4">
        <v>107435</v>
      </c>
      <c r="H95" s="4" t="s">
        <v>208</v>
      </c>
      <c r="I95" s="4">
        <v>1565370382</v>
      </c>
      <c r="J95" s="4" t="s">
        <v>209</v>
      </c>
      <c r="K95" s="4" t="s">
        <v>212</v>
      </c>
      <c r="L95" s="4">
        <v>-392.52</v>
      </c>
      <c r="M95" s="4">
        <v>-321.74</v>
      </c>
      <c r="N95" s="5">
        <v>43420</v>
      </c>
      <c r="O95" s="5">
        <v>43663</v>
      </c>
      <c r="P95" s="4" t="s">
        <v>163</v>
      </c>
    </row>
    <row r="96" spans="1:16">
      <c r="A96" s="4" t="s">
        <v>45</v>
      </c>
      <c r="B96" s="5">
        <v>43384</v>
      </c>
      <c r="C96" s="4" t="str">
        <f>"181178072"</f>
        <v>181178072</v>
      </c>
      <c r="D96" s="4">
        <v>123152343</v>
      </c>
      <c r="E96" s="5">
        <v>43390</v>
      </c>
      <c r="F96" s="4">
        <v>4391</v>
      </c>
      <c r="G96" s="4">
        <v>107435</v>
      </c>
      <c r="H96" s="4" t="s">
        <v>208</v>
      </c>
      <c r="I96" s="4">
        <v>1565370382</v>
      </c>
      <c r="J96" s="4" t="s">
        <v>209</v>
      </c>
      <c r="K96" s="4" t="s">
        <v>213</v>
      </c>
      <c r="L96" s="4">
        <v>-71.83</v>
      </c>
      <c r="M96" s="4">
        <v>-65.430000000000007</v>
      </c>
      <c r="N96" s="5">
        <v>43420</v>
      </c>
      <c r="O96" s="5">
        <v>43663</v>
      </c>
      <c r="P96" s="4" t="s">
        <v>163</v>
      </c>
    </row>
    <row r="97" spans="1:16">
      <c r="A97" s="4" t="s">
        <v>45</v>
      </c>
      <c r="B97" s="5">
        <v>43384</v>
      </c>
      <c r="C97" s="4" t="str">
        <f>"181178073"</f>
        <v>181178073</v>
      </c>
      <c r="D97" s="4">
        <v>123152340</v>
      </c>
      <c r="E97" s="5">
        <v>43390</v>
      </c>
      <c r="F97" s="4">
        <v>4381</v>
      </c>
      <c r="G97" s="4">
        <v>107435</v>
      </c>
      <c r="H97" s="4" t="s">
        <v>208</v>
      </c>
      <c r="I97" s="4">
        <v>1565370382</v>
      </c>
      <c r="J97" s="4" t="s">
        <v>209</v>
      </c>
      <c r="K97" s="4" t="s">
        <v>214</v>
      </c>
      <c r="L97" s="4">
        <v>-66.92</v>
      </c>
      <c r="M97" s="4">
        <v>-54.85</v>
      </c>
      <c r="N97" s="5">
        <v>43420</v>
      </c>
      <c r="O97" s="5">
        <v>43663</v>
      </c>
      <c r="P97" s="4" t="s">
        <v>163</v>
      </c>
    </row>
    <row r="98" spans="1:16">
      <c r="A98" s="4" t="s">
        <v>45</v>
      </c>
      <c r="B98" s="5">
        <v>43384</v>
      </c>
      <c r="C98" s="4" t="str">
        <f>"181178075"</f>
        <v>181178075</v>
      </c>
      <c r="D98" s="4">
        <v>123152314</v>
      </c>
      <c r="E98" s="5">
        <v>43390</v>
      </c>
      <c r="F98" s="4">
        <v>4384</v>
      </c>
      <c r="G98" s="4">
        <v>107435</v>
      </c>
      <c r="H98" s="4" t="s">
        <v>208</v>
      </c>
      <c r="I98" s="4">
        <v>1565370382</v>
      </c>
      <c r="J98" s="4" t="s">
        <v>209</v>
      </c>
      <c r="K98" s="4" t="s">
        <v>215</v>
      </c>
      <c r="L98" s="4">
        <v>-192.63</v>
      </c>
      <c r="M98" s="4">
        <v>-157.88999999999999</v>
      </c>
      <c r="N98" s="5">
        <v>43420</v>
      </c>
      <c r="O98" s="5">
        <v>43663</v>
      </c>
      <c r="P98" s="4" t="s">
        <v>163</v>
      </c>
    </row>
    <row r="99" spans="1:16">
      <c r="A99" s="4" t="s">
        <v>45</v>
      </c>
      <c r="B99" s="5">
        <v>43383</v>
      </c>
      <c r="C99" s="4" t="str">
        <f>"0000918900004859"</f>
        <v>0000918900004859</v>
      </c>
      <c r="D99" s="4">
        <v>122581548</v>
      </c>
      <c r="E99" s="5">
        <v>43392</v>
      </c>
      <c r="F99" s="4">
        <v>4403</v>
      </c>
      <c r="G99" s="4">
        <v>107437</v>
      </c>
      <c r="H99" s="4" t="s">
        <v>216</v>
      </c>
      <c r="I99" s="4">
        <v>5779711000</v>
      </c>
      <c r="J99" s="4" t="s">
        <v>217</v>
      </c>
      <c r="K99" s="4"/>
      <c r="L99" s="4">
        <v>-122</v>
      </c>
      <c r="M99" s="4">
        <v>-100</v>
      </c>
      <c r="N99" s="5">
        <v>43403</v>
      </c>
      <c r="O99" s="5">
        <v>43563</v>
      </c>
      <c r="P99" s="4" t="s">
        <v>218</v>
      </c>
    </row>
    <row r="100" spans="1:16">
      <c r="A100" s="4" t="s">
        <v>17</v>
      </c>
      <c r="B100" s="5">
        <v>43378</v>
      </c>
      <c r="C100" s="4" t="str">
        <f>"00045/06"</f>
        <v>00045/06</v>
      </c>
      <c r="D100" s="4">
        <v>125259458</v>
      </c>
      <c r="E100" s="5">
        <v>43413</v>
      </c>
      <c r="F100" s="4">
        <v>4561</v>
      </c>
      <c r="G100" s="4">
        <v>108056</v>
      </c>
      <c r="H100" s="4" t="s">
        <v>219</v>
      </c>
      <c r="I100" s="4">
        <v>80007030382</v>
      </c>
      <c r="J100" s="4" t="s">
        <v>220</v>
      </c>
      <c r="K100" s="4" t="s">
        <v>221</v>
      </c>
      <c r="L100" s="4">
        <v>600</v>
      </c>
      <c r="M100" s="4">
        <v>600</v>
      </c>
      <c r="N100" s="4"/>
      <c r="O100" s="5">
        <v>43500</v>
      </c>
      <c r="P100" s="4" t="s">
        <v>31</v>
      </c>
    </row>
    <row r="101" spans="1:16">
      <c r="A101" s="4" t="s">
        <v>17</v>
      </c>
      <c r="B101" s="5">
        <v>43375</v>
      </c>
      <c r="C101" s="4" t="str">
        <f>"E/64"</f>
        <v>E/64</v>
      </c>
      <c r="D101" s="4">
        <v>121074193</v>
      </c>
      <c r="E101" s="5">
        <v>43395</v>
      </c>
      <c r="F101" s="4">
        <v>4415</v>
      </c>
      <c r="G101" s="4">
        <v>4197</v>
      </c>
      <c r="H101" s="4" t="s">
        <v>222</v>
      </c>
      <c r="I101" s="4">
        <v>1544360389</v>
      </c>
      <c r="J101" s="4" t="s">
        <v>223</v>
      </c>
      <c r="K101" s="4" t="s">
        <v>224</v>
      </c>
      <c r="L101" s="4">
        <v>500</v>
      </c>
      <c r="M101" s="4">
        <v>500</v>
      </c>
      <c r="N101" s="4"/>
      <c r="O101" s="5">
        <v>43524</v>
      </c>
      <c r="P101" s="4" t="s">
        <v>93</v>
      </c>
    </row>
    <row r="102" spans="1:16">
      <c r="A102" s="4" t="s">
        <v>45</v>
      </c>
      <c r="B102" s="5">
        <v>43371</v>
      </c>
      <c r="C102" s="4" t="str">
        <f>"111805288891"</f>
        <v>111805288891</v>
      </c>
      <c r="D102" s="4">
        <v>121229127</v>
      </c>
      <c r="E102" s="5">
        <v>43389</v>
      </c>
      <c r="F102" s="4">
        <v>4347</v>
      </c>
      <c r="G102" s="4">
        <v>5822</v>
      </c>
      <c r="H102" s="4" t="s">
        <v>225</v>
      </c>
      <c r="I102" s="4">
        <v>4245520376</v>
      </c>
      <c r="J102" s="4" t="s">
        <v>226</v>
      </c>
      <c r="K102" s="4" t="s">
        <v>227</v>
      </c>
      <c r="L102" s="4">
        <v>-647.76</v>
      </c>
      <c r="M102" s="4">
        <v>-588.87</v>
      </c>
      <c r="N102" s="5">
        <v>43431</v>
      </c>
      <c r="O102" s="5">
        <v>44340</v>
      </c>
      <c r="P102" s="4" t="s">
        <v>163</v>
      </c>
    </row>
    <row r="103" spans="1:16">
      <c r="A103" s="4" t="s">
        <v>17</v>
      </c>
      <c r="B103" s="5">
        <v>43368</v>
      </c>
      <c r="C103" s="4" t="str">
        <f>"521800005449"</f>
        <v>521800005449</v>
      </c>
      <c r="D103" s="4">
        <v>135102435</v>
      </c>
      <c r="E103" s="5">
        <v>43458</v>
      </c>
      <c r="F103" s="4">
        <v>5096</v>
      </c>
      <c r="G103" s="4">
        <v>107307</v>
      </c>
      <c r="H103" s="4" t="s">
        <v>228</v>
      </c>
      <c r="I103" s="4">
        <v>3479071205</v>
      </c>
      <c r="J103" s="4" t="s">
        <v>226</v>
      </c>
      <c r="K103" s="4" t="s">
        <v>229</v>
      </c>
      <c r="L103" s="4">
        <v>977.22</v>
      </c>
      <c r="M103" s="4">
        <v>801</v>
      </c>
      <c r="N103" s="5">
        <v>43388</v>
      </c>
      <c r="O103" s="5">
        <v>43481</v>
      </c>
      <c r="P103" s="4" t="s">
        <v>59</v>
      </c>
    </row>
    <row r="104" spans="1:16">
      <c r="A104" s="4" t="s">
        <v>45</v>
      </c>
      <c r="B104" s="5">
        <v>43367</v>
      </c>
      <c r="C104" s="4" t="str">
        <f>"111805092286"</f>
        <v>111805092286</v>
      </c>
      <c r="D104" s="4">
        <v>120258711</v>
      </c>
      <c r="E104" s="5">
        <v>43370</v>
      </c>
      <c r="F104" s="4">
        <v>4098</v>
      </c>
      <c r="G104" s="4">
        <v>5822</v>
      </c>
      <c r="H104" s="4" t="s">
        <v>225</v>
      </c>
      <c r="I104" s="4">
        <v>4245520376</v>
      </c>
      <c r="J104" s="4" t="s">
        <v>226</v>
      </c>
      <c r="K104" s="4" t="s">
        <v>230</v>
      </c>
      <c r="L104" s="6">
        <v>-2087.54</v>
      </c>
      <c r="M104" s="6">
        <v>-1897.76</v>
      </c>
      <c r="N104" s="5">
        <v>43427</v>
      </c>
      <c r="O104" s="5">
        <v>44340</v>
      </c>
      <c r="P104" s="4" t="s">
        <v>163</v>
      </c>
    </row>
    <row r="105" spans="1:16">
      <c r="A105" s="4" t="s">
        <v>45</v>
      </c>
      <c r="B105" s="5">
        <v>43355</v>
      </c>
      <c r="C105" s="4" t="str">
        <f>"181164746"</f>
        <v>181164746</v>
      </c>
      <c r="D105" s="4">
        <v>119684124</v>
      </c>
      <c r="E105" s="5">
        <v>43371</v>
      </c>
      <c r="F105" s="4">
        <v>4197</v>
      </c>
      <c r="G105" s="4">
        <v>107435</v>
      </c>
      <c r="H105" s="4" t="s">
        <v>208</v>
      </c>
      <c r="I105" s="4">
        <v>1565370382</v>
      </c>
      <c r="J105" s="4" t="s">
        <v>209</v>
      </c>
      <c r="K105" s="4" t="s">
        <v>231</v>
      </c>
      <c r="L105" s="4">
        <v>-566.85</v>
      </c>
      <c r="M105" s="4">
        <v>-464.63</v>
      </c>
      <c r="N105" s="5">
        <v>43404</v>
      </c>
      <c r="O105" s="5">
        <v>43663</v>
      </c>
      <c r="P105" s="4" t="s">
        <v>163</v>
      </c>
    </row>
    <row r="106" spans="1:16">
      <c r="A106" s="4" t="s">
        <v>45</v>
      </c>
      <c r="B106" s="5">
        <v>43355</v>
      </c>
      <c r="C106" s="4" t="str">
        <f>"181164747"</f>
        <v>181164747</v>
      </c>
      <c r="D106" s="4">
        <v>119684123</v>
      </c>
      <c r="E106" s="5">
        <v>43371</v>
      </c>
      <c r="F106" s="4">
        <v>4151</v>
      </c>
      <c r="G106" s="4">
        <v>107435</v>
      </c>
      <c r="H106" s="4" t="s">
        <v>208</v>
      </c>
      <c r="I106" s="4">
        <v>1565370382</v>
      </c>
      <c r="J106" s="4" t="s">
        <v>209</v>
      </c>
      <c r="K106" s="4" t="s">
        <v>232</v>
      </c>
      <c r="L106" s="4">
        <v>-199.86</v>
      </c>
      <c r="M106" s="4">
        <v>-163.82</v>
      </c>
      <c r="N106" s="5">
        <v>43404</v>
      </c>
      <c r="O106" s="5">
        <v>43663</v>
      </c>
      <c r="P106" s="4" t="s">
        <v>163</v>
      </c>
    </row>
    <row r="107" spans="1:16">
      <c r="A107" s="4" t="s">
        <v>45</v>
      </c>
      <c r="B107" s="5">
        <v>43355</v>
      </c>
      <c r="C107" s="4" t="str">
        <f>"181164748"</f>
        <v>181164748</v>
      </c>
      <c r="D107" s="4">
        <v>119684122</v>
      </c>
      <c r="E107" s="5">
        <v>43371</v>
      </c>
      <c r="F107" s="4">
        <v>4150</v>
      </c>
      <c r="G107" s="4">
        <v>107435</v>
      </c>
      <c r="H107" s="4" t="s">
        <v>208</v>
      </c>
      <c r="I107" s="4">
        <v>1565370382</v>
      </c>
      <c r="J107" s="4" t="s">
        <v>209</v>
      </c>
      <c r="K107" s="4" t="s">
        <v>233</v>
      </c>
      <c r="L107" s="4">
        <v>-487.91</v>
      </c>
      <c r="M107" s="4">
        <v>-399.93</v>
      </c>
      <c r="N107" s="5">
        <v>43404</v>
      </c>
      <c r="O107" s="5">
        <v>43663</v>
      </c>
      <c r="P107" s="4" t="s">
        <v>163</v>
      </c>
    </row>
    <row r="108" spans="1:16">
      <c r="A108" s="4" t="s">
        <v>45</v>
      </c>
      <c r="B108" s="5">
        <v>43355</v>
      </c>
      <c r="C108" s="4" t="str">
        <f>"181164749"</f>
        <v>181164749</v>
      </c>
      <c r="D108" s="4">
        <v>119684116</v>
      </c>
      <c r="E108" s="5">
        <v>43371</v>
      </c>
      <c r="F108" s="4">
        <v>4206</v>
      </c>
      <c r="G108" s="4">
        <v>107435</v>
      </c>
      <c r="H108" s="4" t="s">
        <v>208</v>
      </c>
      <c r="I108" s="4">
        <v>1565370382</v>
      </c>
      <c r="J108" s="4" t="s">
        <v>209</v>
      </c>
      <c r="K108" s="4" t="s">
        <v>234</v>
      </c>
      <c r="L108" s="4">
        <v>-352.74</v>
      </c>
      <c r="M108" s="4">
        <v>-289.13</v>
      </c>
      <c r="N108" s="5">
        <v>43404</v>
      </c>
      <c r="O108" s="5">
        <v>43663</v>
      </c>
      <c r="P108" s="4" t="s">
        <v>163</v>
      </c>
    </row>
    <row r="109" spans="1:16">
      <c r="A109" s="4" t="s">
        <v>45</v>
      </c>
      <c r="B109" s="5">
        <v>43355</v>
      </c>
      <c r="C109" s="4" t="str">
        <f>"181164751"</f>
        <v>181164751</v>
      </c>
      <c r="D109" s="4">
        <v>119684112</v>
      </c>
      <c r="E109" s="5">
        <v>43371</v>
      </c>
      <c r="F109" s="4">
        <v>4211</v>
      </c>
      <c r="G109" s="4">
        <v>107435</v>
      </c>
      <c r="H109" s="4" t="s">
        <v>208</v>
      </c>
      <c r="I109" s="4">
        <v>1565370382</v>
      </c>
      <c r="J109" s="4" t="s">
        <v>209</v>
      </c>
      <c r="K109" s="4" t="s">
        <v>235</v>
      </c>
      <c r="L109" s="4">
        <v>-493.51</v>
      </c>
      <c r="M109" s="4">
        <v>-404.52</v>
      </c>
      <c r="N109" s="5">
        <v>43404</v>
      </c>
      <c r="O109" s="5">
        <v>43663</v>
      </c>
      <c r="P109" s="4" t="s">
        <v>163</v>
      </c>
    </row>
    <row r="110" spans="1:16">
      <c r="A110" s="4" t="s">
        <v>45</v>
      </c>
      <c r="B110" s="5">
        <v>43355</v>
      </c>
      <c r="C110" s="4" t="str">
        <f>"181164753"</f>
        <v>181164753</v>
      </c>
      <c r="D110" s="4">
        <v>119684107</v>
      </c>
      <c r="E110" s="5">
        <v>43371</v>
      </c>
      <c r="F110" s="4">
        <v>4203</v>
      </c>
      <c r="G110" s="4">
        <v>107435</v>
      </c>
      <c r="H110" s="4" t="s">
        <v>208</v>
      </c>
      <c r="I110" s="4">
        <v>1565370382</v>
      </c>
      <c r="J110" s="4" t="s">
        <v>209</v>
      </c>
      <c r="K110" s="4" t="s">
        <v>236</v>
      </c>
      <c r="L110" s="4">
        <v>-534.1</v>
      </c>
      <c r="M110" s="4">
        <v>-437.79</v>
      </c>
      <c r="N110" s="5">
        <v>43404</v>
      </c>
      <c r="O110" s="5">
        <v>44029</v>
      </c>
      <c r="P110" s="4" t="s">
        <v>163</v>
      </c>
    </row>
    <row r="111" spans="1:16">
      <c r="A111" s="4" t="s">
        <v>45</v>
      </c>
      <c r="B111" s="5">
        <v>43355</v>
      </c>
      <c r="C111" s="4" t="str">
        <f>"181164755"</f>
        <v>181164755</v>
      </c>
      <c r="D111" s="4">
        <v>119684102</v>
      </c>
      <c r="E111" s="5">
        <v>43371</v>
      </c>
      <c r="F111" s="4">
        <v>4213</v>
      </c>
      <c r="G111" s="4">
        <v>107435</v>
      </c>
      <c r="H111" s="4" t="s">
        <v>208</v>
      </c>
      <c r="I111" s="4">
        <v>1565370382</v>
      </c>
      <c r="J111" s="4" t="s">
        <v>209</v>
      </c>
      <c r="K111" s="4" t="s">
        <v>237</v>
      </c>
      <c r="L111" s="4">
        <v>-476.87</v>
      </c>
      <c r="M111" s="4">
        <v>-390.88</v>
      </c>
      <c r="N111" s="5">
        <v>43404</v>
      </c>
      <c r="O111" s="5">
        <v>44029</v>
      </c>
      <c r="P111" s="4" t="s">
        <v>163</v>
      </c>
    </row>
    <row r="112" spans="1:16">
      <c r="A112" s="4" t="s">
        <v>45</v>
      </c>
      <c r="B112" s="5">
        <v>43355</v>
      </c>
      <c r="C112" s="4" t="str">
        <f>"181164761"</f>
        <v>181164761</v>
      </c>
      <c r="D112" s="4">
        <v>119684087</v>
      </c>
      <c r="E112" s="5">
        <v>43371</v>
      </c>
      <c r="F112" s="4">
        <v>4205</v>
      </c>
      <c r="G112" s="4">
        <v>107435</v>
      </c>
      <c r="H112" s="4" t="s">
        <v>208</v>
      </c>
      <c r="I112" s="4">
        <v>1565370382</v>
      </c>
      <c r="J112" s="4" t="s">
        <v>209</v>
      </c>
      <c r="K112" s="4" t="s">
        <v>238</v>
      </c>
      <c r="L112" s="4">
        <v>-91.79</v>
      </c>
      <c r="M112" s="4">
        <v>-75.239999999999995</v>
      </c>
      <c r="N112" s="5">
        <v>43404</v>
      </c>
      <c r="O112" s="5">
        <v>43663</v>
      </c>
      <c r="P112" s="4" t="s">
        <v>163</v>
      </c>
    </row>
    <row r="113" spans="1:16">
      <c r="A113" s="4" t="s">
        <v>45</v>
      </c>
      <c r="B113" s="5">
        <v>43346</v>
      </c>
      <c r="C113" s="4" t="str">
        <f>"1171/D"</f>
        <v>1171/D</v>
      </c>
      <c r="D113" s="4">
        <v>120447225</v>
      </c>
      <c r="E113" s="5">
        <v>43374</v>
      </c>
      <c r="F113" s="4">
        <v>4223</v>
      </c>
      <c r="G113" s="4">
        <v>4475</v>
      </c>
      <c r="H113" s="4" t="s">
        <v>239</v>
      </c>
      <c r="I113" s="4">
        <v>915090393</v>
      </c>
      <c r="J113" s="4" t="s">
        <v>240</v>
      </c>
      <c r="K113" s="4" t="s">
        <v>241</v>
      </c>
      <c r="L113" s="4">
        <v>-299.14999999999998</v>
      </c>
      <c r="M113" s="4">
        <v>-284.89999999999998</v>
      </c>
      <c r="N113" s="5">
        <v>43427</v>
      </c>
      <c r="O113" s="4"/>
      <c r="P113" s="4" t="s">
        <v>31</v>
      </c>
    </row>
    <row r="114" spans="1:16">
      <c r="A114" s="4" t="s">
        <v>17</v>
      </c>
      <c r="B114" s="5">
        <v>43343</v>
      </c>
      <c r="C114" s="4" t="str">
        <f>"0000043"</f>
        <v>0000043</v>
      </c>
      <c r="D114" s="4">
        <v>117959062</v>
      </c>
      <c r="E114" s="5">
        <v>43355</v>
      </c>
      <c r="F114" s="4">
        <v>4006</v>
      </c>
      <c r="G114" s="4">
        <v>2038</v>
      </c>
      <c r="H114" s="4" t="s">
        <v>242</v>
      </c>
      <c r="I114" s="4">
        <v>1181090380</v>
      </c>
      <c r="J114" s="4" t="s">
        <v>243</v>
      </c>
      <c r="K114" s="4" t="s">
        <v>244</v>
      </c>
      <c r="L114" s="4">
        <v>35.869999999999997</v>
      </c>
      <c r="M114" s="4">
        <v>29.4</v>
      </c>
      <c r="N114" s="5">
        <v>43384</v>
      </c>
      <c r="O114" s="5">
        <v>43601</v>
      </c>
      <c r="P114" s="4" t="s">
        <v>21</v>
      </c>
    </row>
    <row r="115" spans="1:16">
      <c r="A115" s="4" t="s">
        <v>17</v>
      </c>
      <c r="B115" s="5">
        <v>43341</v>
      </c>
      <c r="C115" s="4" t="str">
        <f>"6PA"</f>
        <v>6PA</v>
      </c>
      <c r="D115" s="4">
        <v>116253405</v>
      </c>
      <c r="E115" s="5">
        <v>43342</v>
      </c>
      <c r="F115" s="4">
        <v>3838</v>
      </c>
      <c r="G115" s="4">
        <v>108247</v>
      </c>
      <c r="H115" s="4" t="s">
        <v>245</v>
      </c>
      <c r="I115" s="4" t="s">
        <v>246</v>
      </c>
      <c r="J115" s="4" t="s">
        <v>247</v>
      </c>
      <c r="K115" s="4" t="s">
        <v>248</v>
      </c>
      <c r="L115" s="4">
        <v>366.94</v>
      </c>
      <c r="M115" s="4">
        <v>0.02</v>
      </c>
      <c r="N115" s="5">
        <v>43371</v>
      </c>
      <c r="O115" s="5">
        <v>44196</v>
      </c>
      <c r="P115" s="4" t="s">
        <v>218</v>
      </c>
    </row>
    <row r="116" spans="1:16">
      <c r="A116" s="4" t="s">
        <v>17</v>
      </c>
      <c r="B116" s="5">
        <v>43333</v>
      </c>
      <c r="C116" s="4" t="str">
        <f>"S0118FEL00026"</f>
        <v>S0118FEL00026</v>
      </c>
      <c r="D116" s="4">
        <v>115404516</v>
      </c>
      <c r="E116" s="5">
        <v>43349</v>
      </c>
      <c r="F116" s="4">
        <v>3872</v>
      </c>
      <c r="G116" s="4">
        <v>1037</v>
      </c>
      <c r="H116" s="4" t="s">
        <v>249</v>
      </c>
      <c r="I116" s="4">
        <v>51510386</v>
      </c>
      <c r="J116" s="4" t="s">
        <v>250</v>
      </c>
      <c r="K116" s="4" t="s">
        <v>251</v>
      </c>
      <c r="L116" s="6">
        <v>11729.45</v>
      </c>
      <c r="M116" s="6">
        <v>9614.2999999999993</v>
      </c>
      <c r="N116" s="5">
        <v>43363</v>
      </c>
      <c r="O116" s="5">
        <v>43500</v>
      </c>
      <c r="P116" s="4" t="s">
        <v>31</v>
      </c>
    </row>
    <row r="117" spans="1:16">
      <c r="A117" s="4" t="s">
        <v>17</v>
      </c>
      <c r="B117" s="5">
        <v>43333</v>
      </c>
      <c r="C117" s="4" t="str">
        <f>"S0118FEL00027"</f>
        <v>S0118FEL00027</v>
      </c>
      <c r="D117" s="4">
        <v>115404517</v>
      </c>
      <c r="E117" s="5">
        <v>43349</v>
      </c>
      <c r="F117" s="4">
        <v>3871</v>
      </c>
      <c r="G117" s="4">
        <v>1037</v>
      </c>
      <c r="H117" s="4" t="s">
        <v>249</v>
      </c>
      <c r="I117" s="4">
        <v>51510386</v>
      </c>
      <c r="J117" s="4" t="s">
        <v>250</v>
      </c>
      <c r="K117" s="4" t="s">
        <v>252</v>
      </c>
      <c r="L117" s="6">
        <v>3996.72</v>
      </c>
      <c r="M117" s="6">
        <v>3276</v>
      </c>
      <c r="N117" s="5">
        <v>43363</v>
      </c>
      <c r="O117" s="5">
        <v>43500</v>
      </c>
      <c r="P117" s="4" t="s">
        <v>31</v>
      </c>
    </row>
    <row r="118" spans="1:16">
      <c r="A118" s="4" t="s">
        <v>17</v>
      </c>
      <c r="B118" s="5">
        <v>43325</v>
      </c>
      <c r="C118" s="4" t="str">
        <f>"46"</f>
        <v>46</v>
      </c>
      <c r="D118" s="4">
        <v>114631371</v>
      </c>
      <c r="E118" s="5">
        <v>43341</v>
      </c>
      <c r="F118" s="4">
        <v>3821</v>
      </c>
      <c r="G118" s="4">
        <v>107046</v>
      </c>
      <c r="H118" s="4" t="s">
        <v>41</v>
      </c>
      <c r="I118" s="4">
        <v>1885640381</v>
      </c>
      <c r="J118" s="4" t="s">
        <v>42</v>
      </c>
      <c r="K118" s="4" t="s">
        <v>253</v>
      </c>
      <c r="L118" s="6">
        <v>1479.62</v>
      </c>
      <c r="M118" s="6">
        <v>1212.8</v>
      </c>
      <c r="N118" s="5">
        <v>43355</v>
      </c>
      <c r="O118" s="5">
        <v>43480</v>
      </c>
      <c r="P118" s="4" t="s">
        <v>44</v>
      </c>
    </row>
    <row r="119" spans="1:16">
      <c r="A119" s="4" t="s">
        <v>17</v>
      </c>
      <c r="B119" s="5">
        <v>43318</v>
      </c>
      <c r="C119" s="4" t="str">
        <f>"181129915"</f>
        <v>181129915</v>
      </c>
      <c r="D119" s="4">
        <v>114150749</v>
      </c>
      <c r="E119" s="5">
        <v>43340</v>
      </c>
      <c r="F119" s="4">
        <v>3759</v>
      </c>
      <c r="G119" s="4">
        <v>107435</v>
      </c>
      <c r="H119" s="4" t="s">
        <v>208</v>
      </c>
      <c r="I119" s="4">
        <v>1565370382</v>
      </c>
      <c r="J119" s="4" t="s">
        <v>209</v>
      </c>
      <c r="K119" s="4" t="s">
        <v>254</v>
      </c>
      <c r="L119" s="4">
        <v>26.67</v>
      </c>
      <c r="M119" s="4">
        <v>23.98</v>
      </c>
      <c r="N119" s="5">
        <v>43374</v>
      </c>
      <c r="O119" s="5">
        <v>43480</v>
      </c>
      <c r="P119" s="4" t="s">
        <v>163</v>
      </c>
    </row>
    <row r="120" spans="1:16">
      <c r="A120" s="4" t="s">
        <v>17</v>
      </c>
      <c r="B120" s="5">
        <v>43312</v>
      </c>
      <c r="C120" s="4" t="str">
        <f>"PV0000003"</f>
        <v>PV0000003</v>
      </c>
      <c r="D120" s="4">
        <v>115447474</v>
      </c>
      <c r="E120" s="5">
        <v>43340</v>
      </c>
      <c r="F120" s="4">
        <v>3766</v>
      </c>
      <c r="G120" s="4">
        <v>3358</v>
      </c>
      <c r="H120" s="4" t="s">
        <v>255</v>
      </c>
      <c r="I120" s="4">
        <v>858310238</v>
      </c>
      <c r="J120" s="4" t="s">
        <v>256</v>
      </c>
      <c r="K120" s="4" t="s">
        <v>257</v>
      </c>
      <c r="L120" s="4">
        <v>765.9</v>
      </c>
      <c r="M120" s="4">
        <v>676.48</v>
      </c>
      <c r="N120" s="5">
        <v>43363</v>
      </c>
      <c r="O120" s="5">
        <v>43495</v>
      </c>
      <c r="P120" s="4" t="s">
        <v>21</v>
      </c>
    </row>
    <row r="121" spans="1:16">
      <c r="A121" s="4" t="s">
        <v>45</v>
      </c>
      <c r="B121" s="5">
        <v>43307</v>
      </c>
      <c r="C121" s="4" t="str">
        <f>"1618023317"</f>
        <v>1618023317</v>
      </c>
      <c r="D121" s="4">
        <v>112135551</v>
      </c>
      <c r="E121" s="5">
        <v>43314</v>
      </c>
      <c r="F121" s="4">
        <v>3395</v>
      </c>
      <c r="G121" s="4">
        <v>106695</v>
      </c>
      <c r="H121" s="4" t="s">
        <v>111</v>
      </c>
      <c r="I121" s="4">
        <v>1336610587</v>
      </c>
      <c r="J121" s="4" t="s">
        <v>112</v>
      </c>
      <c r="K121" s="4" t="s">
        <v>258</v>
      </c>
      <c r="L121" s="4">
        <v>-195.61</v>
      </c>
      <c r="M121" s="4">
        <v>-160.34</v>
      </c>
      <c r="N121" s="4"/>
      <c r="O121" s="5">
        <v>43563</v>
      </c>
      <c r="P121" s="4" t="s">
        <v>35</v>
      </c>
    </row>
    <row r="122" spans="1:16">
      <c r="A122" s="4" t="s">
        <v>45</v>
      </c>
      <c r="B122" s="5">
        <v>43306</v>
      </c>
      <c r="C122" s="4" t="str">
        <f>"7/PA"</f>
        <v>7/PA</v>
      </c>
      <c r="D122" s="4">
        <v>112007748</v>
      </c>
      <c r="E122" s="5">
        <v>43312</v>
      </c>
      <c r="F122" s="4">
        <v>3359</v>
      </c>
      <c r="G122" s="4">
        <v>6088</v>
      </c>
      <c r="H122" s="4" t="s">
        <v>259</v>
      </c>
      <c r="I122" s="4">
        <v>271420200</v>
      </c>
      <c r="J122" s="4" t="s">
        <v>260</v>
      </c>
      <c r="K122" s="4" t="s">
        <v>261</v>
      </c>
      <c r="L122" s="4">
        <v>-101.5</v>
      </c>
      <c r="M122" s="4">
        <v>-83.2</v>
      </c>
      <c r="N122" s="4"/>
      <c r="O122" s="5">
        <v>43483</v>
      </c>
      <c r="P122" s="4" t="s">
        <v>39</v>
      </c>
    </row>
    <row r="123" spans="1:16">
      <c r="A123" s="4" t="s">
        <v>45</v>
      </c>
      <c r="B123" s="5">
        <v>43306</v>
      </c>
      <c r="C123" s="4" t="str">
        <f>"8/PA"</f>
        <v>8/PA</v>
      </c>
      <c r="D123" s="4">
        <v>112007760</v>
      </c>
      <c r="E123" s="5">
        <v>43312</v>
      </c>
      <c r="F123" s="4">
        <v>3360</v>
      </c>
      <c r="G123" s="4">
        <v>6088</v>
      </c>
      <c r="H123" s="4" t="s">
        <v>259</v>
      </c>
      <c r="I123" s="4">
        <v>271420200</v>
      </c>
      <c r="J123" s="4" t="s">
        <v>260</v>
      </c>
      <c r="K123" s="4" t="s">
        <v>262</v>
      </c>
      <c r="L123" s="4">
        <v>-138.19</v>
      </c>
      <c r="M123" s="4">
        <v>-113.27</v>
      </c>
      <c r="N123" s="4"/>
      <c r="O123" s="5">
        <v>43483</v>
      </c>
      <c r="P123" s="4" t="s">
        <v>39</v>
      </c>
    </row>
    <row r="124" spans="1:16">
      <c r="A124" s="4" t="s">
        <v>45</v>
      </c>
      <c r="B124" s="5">
        <v>43292</v>
      </c>
      <c r="C124" s="4" t="str">
        <f>"181118502"</f>
        <v>181118502</v>
      </c>
      <c r="D124" s="4">
        <v>110237333</v>
      </c>
      <c r="E124" s="5">
        <v>43312</v>
      </c>
      <c r="F124" s="4">
        <v>3369</v>
      </c>
      <c r="G124" s="4">
        <v>107435</v>
      </c>
      <c r="H124" s="4" t="s">
        <v>208</v>
      </c>
      <c r="I124" s="4">
        <v>1565370382</v>
      </c>
      <c r="J124" s="4" t="s">
        <v>209</v>
      </c>
      <c r="K124" s="4" t="s">
        <v>263</v>
      </c>
      <c r="L124" s="4">
        <v>-216.45</v>
      </c>
      <c r="M124" s="4">
        <v>-177.42</v>
      </c>
      <c r="N124" s="4"/>
      <c r="O124" s="5">
        <v>43663</v>
      </c>
      <c r="P124" s="4" t="s">
        <v>163</v>
      </c>
    </row>
    <row r="125" spans="1:16">
      <c r="A125" s="4" t="s">
        <v>17</v>
      </c>
      <c r="B125" s="5">
        <v>43286</v>
      </c>
      <c r="C125" s="4" t="str">
        <f>"00028/06"</f>
        <v>00028/06</v>
      </c>
      <c r="D125" s="4">
        <v>114405093</v>
      </c>
      <c r="E125" s="5">
        <v>43340</v>
      </c>
      <c r="F125" s="4">
        <v>3769</v>
      </c>
      <c r="G125" s="4">
        <v>108056</v>
      </c>
      <c r="H125" s="4" t="s">
        <v>219</v>
      </c>
      <c r="I125" s="4">
        <v>80007030382</v>
      </c>
      <c r="J125" s="4" t="s">
        <v>220</v>
      </c>
      <c r="K125" s="4" t="s">
        <v>221</v>
      </c>
      <c r="L125" s="4">
        <v>600</v>
      </c>
      <c r="M125" s="4">
        <v>600</v>
      </c>
      <c r="N125" s="5">
        <v>43352</v>
      </c>
      <c r="O125" s="5">
        <v>43496</v>
      </c>
      <c r="P125" s="4" t="s">
        <v>31</v>
      </c>
    </row>
    <row r="126" spans="1:16">
      <c r="A126" s="4" t="s">
        <v>17</v>
      </c>
      <c r="B126" s="5">
        <v>43285</v>
      </c>
      <c r="C126" s="4" t="str">
        <f>"5750599260"</f>
        <v>5750599260</v>
      </c>
      <c r="D126" s="4">
        <v>109206258</v>
      </c>
      <c r="E126" s="5">
        <v>43305</v>
      </c>
      <c r="F126" s="4">
        <v>3319</v>
      </c>
      <c r="G126" s="4">
        <v>6611</v>
      </c>
      <c r="H126" s="4" t="s">
        <v>205</v>
      </c>
      <c r="I126" s="4">
        <v>8526440154</v>
      </c>
      <c r="J126" s="4" t="s">
        <v>206</v>
      </c>
      <c r="K126" s="4" t="s">
        <v>264</v>
      </c>
      <c r="L126" s="4">
        <v>993.57</v>
      </c>
      <c r="M126" s="4">
        <v>814.4</v>
      </c>
      <c r="N126" s="5">
        <v>43326</v>
      </c>
      <c r="O126" s="5">
        <v>43487</v>
      </c>
      <c r="P126" s="4" t="s">
        <v>265</v>
      </c>
    </row>
    <row r="127" spans="1:16">
      <c r="A127" s="4" t="s">
        <v>17</v>
      </c>
      <c r="B127" s="5">
        <v>43281</v>
      </c>
      <c r="C127" s="4" t="str">
        <f>"193/07"</f>
        <v>193/07</v>
      </c>
      <c r="D127" s="4">
        <v>108968523</v>
      </c>
      <c r="E127" s="5">
        <v>43300</v>
      </c>
      <c r="F127" s="4">
        <v>3254</v>
      </c>
      <c r="G127" s="4">
        <v>5752</v>
      </c>
      <c r="H127" s="4" t="s">
        <v>266</v>
      </c>
      <c r="I127" s="4">
        <v>1473160388</v>
      </c>
      <c r="J127" s="4" t="s">
        <v>267</v>
      </c>
      <c r="K127" s="4" t="s">
        <v>268</v>
      </c>
      <c r="L127" s="6">
        <v>2022.76</v>
      </c>
      <c r="M127" s="6">
        <v>1658</v>
      </c>
      <c r="N127" s="5">
        <v>43314</v>
      </c>
      <c r="O127" s="5">
        <v>43487</v>
      </c>
      <c r="P127" s="4" t="s">
        <v>31</v>
      </c>
    </row>
    <row r="128" spans="1:16">
      <c r="A128" s="4" t="s">
        <v>45</v>
      </c>
      <c r="B128" s="5">
        <v>43277</v>
      </c>
      <c r="C128" s="4" t="str">
        <f>"50036/C"</f>
        <v>50036/C</v>
      </c>
      <c r="D128" s="4">
        <v>108577959</v>
      </c>
      <c r="E128" s="5">
        <v>43283</v>
      </c>
      <c r="F128" s="4">
        <v>2987</v>
      </c>
      <c r="G128" s="4">
        <v>603</v>
      </c>
      <c r="H128" s="4" t="s">
        <v>269</v>
      </c>
      <c r="I128" s="4">
        <v>2246230375</v>
      </c>
      <c r="J128" s="4" t="s">
        <v>270</v>
      </c>
      <c r="K128" s="4" t="s">
        <v>271</v>
      </c>
      <c r="L128" s="4">
        <v>-158.4</v>
      </c>
      <c r="M128" s="4">
        <v>-158.4</v>
      </c>
      <c r="N128" s="4"/>
      <c r="O128" s="5">
        <v>43563</v>
      </c>
      <c r="P128" s="4" t="s">
        <v>272</v>
      </c>
    </row>
    <row r="129" spans="1:16">
      <c r="A129" s="4" t="s">
        <v>17</v>
      </c>
      <c r="B129" s="5">
        <v>43270</v>
      </c>
      <c r="C129" s="4" t="str">
        <f>"FATTPA 5_18"</f>
        <v>FATTPA 5_18</v>
      </c>
      <c r="D129" s="4">
        <v>107696698</v>
      </c>
      <c r="E129" s="5">
        <v>43279</v>
      </c>
      <c r="F129" s="4">
        <v>2934</v>
      </c>
      <c r="G129" s="4">
        <v>108214</v>
      </c>
      <c r="H129" s="4" t="s">
        <v>201</v>
      </c>
      <c r="I129" s="4" t="s">
        <v>202</v>
      </c>
      <c r="J129" s="4" t="s">
        <v>203</v>
      </c>
      <c r="K129" s="4" t="s">
        <v>273</v>
      </c>
      <c r="L129" s="6">
        <v>5599.8</v>
      </c>
      <c r="M129" s="6">
        <v>5547.1</v>
      </c>
      <c r="N129" s="5">
        <v>43300</v>
      </c>
      <c r="O129" s="5">
        <v>43482</v>
      </c>
      <c r="P129" s="4" t="s">
        <v>59</v>
      </c>
    </row>
    <row r="130" spans="1:16">
      <c r="A130" s="4" t="s">
        <v>17</v>
      </c>
      <c r="B130" s="5">
        <v>43269</v>
      </c>
      <c r="C130" s="4" t="str">
        <f>"5EL"</f>
        <v>5EL</v>
      </c>
      <c r="D130" s="4">
        <v>108423945</v>
      </c>
      <c r="E130" s="5">
        <v>43294</v>
      </c>
      <c r="F130" s="4">
        <v>3169</v>
      </c>
      <c r="G130" s="4">
        <v>108128</v>
      </c>
      <c r="H130" s="4" t="s">
        <v>97</v>
      </c>
      <c r="I130" s="4">
        <v>3218940363</v>
      </c>
      <c r="J130" s="4" t="s">
        <v>98</v>
      </c>
      <c r="K130" s="4" t="s">
        <v>274</v>
      </c>
      <c r="L130" s="6">
        <v>2086.1999999999998</v>
      </c>
      <c r="M130" s="6">
        <v>1710</v>
      </c>
      <c r="N130" s="5">
        <v>43308</v>
      </c>
      <c r="O130" s="5">
        <v>43480</v>
      </c>
      <c r="P130" s="4" t="s">
        <v>44</v>
      </c>
    </row>
    <row r="131" spans="1:16">
      <c r="A131" s="4" t="s">
        <v>45</v>
      </c>
      <c r="B131" s="5">
        <v>43263</v>
      </c>
      <c r="C131" s="4" t="str">
        <f>"181089863"</f>
        <v>181089863</v>
      </c>
      <c r="D131" s="4">
        <v>107430985</v>
      </c>
      <c r="E131" s="5">
        <v>43272</v>
      </c>
      <c r="F131" s="4">
        <v>2864</v>
      </c>
      <c r="G131" s="4">
        <v>107435</v>
      </c>
      <c r="H131" s="4" t="s">
        <v>208</v>
      </c>
      <c r="I131" s="4">
        <v>1565370382</v>
      </c>
      <c r="J131" s="4" t="s">
        <v>209</v>
      </c>
      <c r="K131" s="4" t="s">
        <v>275</v>
      </c>
      <c r="L131" s="4">
        <v>-135.32</v>
      </c>
      <c r="M131" s="4">
        <v>-121.34</v>
      </c>
      <c r="N131" s="4"/>
      <c r="O131" s="5">
        <v>44196</v>
      </c>
      <c r="P131" s="4" t="s">
        <v>163</v>
      </c>
    </row>
    <row r="132" spans="1:16">
      <c r="A132" s="4" t="s">
        <v>17</v>
      </c>
      <c r="B132" s="5">
        <v>43252</v>
      </c>
      <c r="C132" s="4" t="str">
        <f>"702/D"</f>
        <v>702/D</v>
      </c>
      <c r="D132" s="4">
        <v>108599157</v>
      </c>
      <c r="E132" s="5">
        <v>43297</v>
      </c>
      <c r="F132" s="4">
        <v>3189</v>
      </c>
      <c r="G132" s="4">
        <v>4475</v>
      </c>
      <c r="H132" s="4" t="s">
        <v>239</v>
      </c>
      <c r="I132" s="4">
        <v>915090393</v>
      </c>
      <c r="J132" s="4" t="s">
        <v>240</v>
      </c>
      <c r="K132" s="4" t="s">
        <v>276</v>
      </c>
      <c r="L132" s="4">
        <v>850.5</v>
      </c>
      <c r="M132" s="4">
        <v>773.18</v>
      </c>
      <c r="N132" s="5">
        <v>43362</v>
      </c>
      <c r="O132" s="5">
        <v>43557</v>
      </c>
      <c r="P132" s="4" t="s">
        <v>31</v>
      </c>
    </row>
    <row r="133" spans="1:16">
      <c r="A133" s="4" t="s">
        <v>45</v>
      </c>
      <c r="B133" s="5">
        <v>43249</v>
      </c>
      <c r="C133" s="4" t="str">
        <f>"0000918900002376"</f>
        <v>0000918900002376</v>
      </c>
      <c r="D133" s="4">
        <v>105559830</v>
      </c>
      <c r="E133" s="5">
        <v>43265</v>
      </c>
      <c r="F133" s="4">
        <v>2771</v>
      </c>
      <c r="G133" s="4">
        <v>107371</v>
      </c>
      <c r="H133" s="4" t="s">
        <v>277</v>
      </c>
      <c r="I133" s="4"/>
      <c r="J133" s="4" t="s">
        <v>278</v>
      </c>
      <c r="K133" s="4" t="s">
        <v>279</v>
      </c>
      <c r="L133" s="4">
        <v>-122</v>
      </c>
      <c r="M133" s="4">
        <v>-100</v>
      </c>
      <c r="N133" s="4"/>
      <c r="O133" s="5">
        <v>43563</v>
      </c>
      <c r="P133" s="4" t="s">
        <v>59</v>
      </c>
    </row>
    <row r="134" spans="1:16">
      <c r="A134" s="4" t="s">
        <v>45</v>
      </c>
      <c r="B134" s="5">
        <v>43234</v>
      </c>
      <c r="C134" s="4" t="str">
        <f>"004810810462"</f>
        <v>004810810462</v>
      </c>
      <c r="D134" s="4">
        <v>104326240</v>
      </c>
      <c r="E134" s="5">
        <v>43250</v>
      </c>
      <c r="F134" s="4">
        <v>2456</v>
      </c>
      <c r="G134" s="4">
        <v>5850</v>
      </c>
      <c r="H134" s="4" t="s">
        <v>280</v>
      </c>
      <c r="I134" s="4">
        <v>6655971007</v>
      </c>
      <c r="J134" s="4" t="s">
        <v>281</v>
      </c>
      <c r="K134" s="4" t="s">
        <v>282</v>
      </c>
      <c r="L134" s="4">
        <v>-5.26</v>
      </c>
      <c r="M134" s="4">
        <v>-5.26</v>
      </c>
      <c r="N134" s="4"/>
      <c r="O134" s="5">
        <v>44025</v>
      </c>
      <c r="P134" s="4" t="s">
        <v>283</v>
      </c>
    </row>
    <row r="135" spans="1:16">
      <c r="A135" s="4" t="s">
        <v>45</v>
      </c>
      <c r="B135" s="5">
        <v>43234</v>
      </c>
      <c r="C135" s="4" t="str">
        <f>"004810810463"</f>
        <v>004810810463</v>
      </c>
      <c r="D135" s="4">
        <v>104357735</v>
      </c>
      <c r="E135" s="5">
        <v>43250</v>
      </c>
      <c r="F135" s="4">
        <v>2399</v>
      </c>
      <c r="G135" s="4">
        <v>5850</v>
      </c>
      <c r="H135" s="4" t="s">
        <v>280</v>
      </c>
      <c r="I135" s="4">
        <v>6655971007</v>
      </c>
      <c r="J135" s="4" t="s">
        <v>281</v>
      </c>
      <c r="K135" s="4" t="s">
        <v>282</v>
      </c>
      <c r="L135" s="4">
        <v>-23.64</v>
      </c>
      <c r="M135" s="4">
        <v>-23.64</v>
      </c>
      <c r="N135" s="4"/>
      <c r="O135" s="5">
        <v>44025</v>
      </c>
      <c r="P135" s="4" t="s">
        <v>283</v>
      </c>
    </row>
    <row r="136" spans="1:16">
      <c r="A136" s="4" t="s">
        <v>45</v>
      </c>
      <c r="B136" s="5">
        <v>43234</v>
      </c>
      <c r="C136" s="4" t="str">
        <f>"004810810464"</f>
        <v>004810810464</v>
      </c>
      <c r="D136" s="4">
        <v>104340876</v>
      </c>
      <c r="E136" s="5">
        <v>43250</v>
      </c>
      <c r="F136" s="4">
        <v>2413</v>
      </c>
      <c r="G136" s="4">
        <v>5850</v>
      </c>
      <c r="H136" s="4" t="s">
        <v>280</v>
      </c>
      <c r="I136" s="4">
        <v>6655971007</v>
      </c>
      <c r="J136" s="4" t="s">
        <v>281</v>
      </c>
      <c r="K136" s="4" t="s">
        <v>282</v>
      </c>
      <c r="L136" s="4">
        <v>-38.5</v>
      </c>
      <c r="M136" s="4">
        <v>-38.5</v>
      </c>
      <c r="N136" s="4"/>
      <c r="O136" s="5">
        <v>44025</v>
      </c>
      <c r="P136" s="4" t="s">
        <v>283</v>
      </c>
    </row>
    <row r="137" spans="1:16">
      <c r="A137" s="4" t="s">
        <v>45</v>
      </c>
      <c r="B137" s="5">
        <v>43234</v>
      </c>
      <c r="C137" s="4" t="str">
        <f>"004810810465"</f>
        <v>004810810465</v>
      </c>
      <c r="D137" s="4">
        <v>104357743</v>
      </c>
      <c r="E137" s="5">
        <v>43250</v>
      </c>
      <c r="F137" s="4">
        <v>2420</v>
      </c>
      <c r="G137" s="4">
        <v>5850</v>
      </c>
      <c r="H137" s="4" t="s">
        <v>280</v>
      </c>
      <c r="I137" s="4">
        <v>6655971007</v>
      </c>
      <c r="J137" s="4" t="s">
        <v>281</v>
      </c>
      <c r="K137" s="4" t="s">
        <v>282</v>
      </c>
      <c r="L137" s="4">
        <v>-27.53</v>
      </c>
      <c r="M137" s="4">
        <v>-27.53</v>
      </c>
      <c r="N137" s="4"/>
      <c r="O137" s="5">
        <v>44025</v>
      </c>
      <c r="P137" s="4" t="s">
        <v>283</v>
      </c>
    </row>
    <row r="138" spans="1:16">
      <c r="A138" s="4" t="s">
        <v>45</v>
      </c>
      <c r="B138" s="5">
        <v>43234</v>
      </c>
      <c r="C138" s="4" t="str">
        <f>"004810810466"</f>
        <v>004810810466</v>
      </c>
      <c r="D138" s="4">
        <v>104359250</v>
      </c>
      <c r="E138" s="5">
        <v>43250</v>
      </c>
      <c r="F138" s="4">
        <v>2409</v>
      </c>
      <c r="G138" s="4">
        <v>5850</v>
      </c>
      <c r="H138" s="4" t="s">
        <v>280</v>
      </c>
      <c r="I138" s="4">
        <v>6655971007</v>
      </c>
      <c r="J138" s="4" t="s">
        <v>281</v>
      </c>
      <c r="K138" s="4" t="s">
        <v>282</v>
      </c>
      <c r="L138" s="4">
        <v>-9.91</v>
      </c>
      <c r="M138" s="4">
        <v>-9.91</v>
      </c>
      <c r="N138" s="4"/>
      <c r="O138" s="5">
        <v>44025</v>
      </c>
      <c r="P138" s="4" t="s">
        <v>283</v>
      </c>
    </row>
    <row r="139" spans="1:16">
      <c r="A139" s="4" t="s">
        <v>45</v>
      </c>
      <c r="B139" s="5">
        <v>43234</v>
      </c>
      <c r="C139" s="4" t="str">
        <f>"004810810467"</f>
        <v>004810810467</v>
      </c>
      <c r="D139" s="4">
        <v>104328019</v>
      </c>
      <c r="E139" s="5">
        <v>43250</v>
      </c>
      <c r="F139" s="4">
        <v>2418</v>
      </c>
      <c r="G139" s="4">
        <v>5850</v>
      </c>
      <c r="H139" s="4" t="s">
        <v>280</v>
      </c>
      <c r="I139" s="4">
        <v>6655971007</v>
      </c>
      <c r="J139" s="4" t="s">
        <v>281</v>
      </c>
      <c r="K139" s="4" t="s">
        <v>282</v>
      </c>
      <c r="L139" s="4">
        <v>-21.06</v>
      </c>
      <c r="M139" s="4">
        <v>-21.06</v>
      </c>
      <c r="N139" s="4"/>
      <c r="O139" s="5">
        <v>44025</v>
      </c>
      <c r="P139" s="4" t="s">
        <v>283</v>
      </c>
    </row>
    <row r="140" spans="1:16">
      <c r="A140" s="4" t="s">
        <v>45</v>
      </c>
      <c r="B140" s="5">
        <v>43234</v>
      </c>
      <c r="C140" s="4" t="str">
        <f>"004810810468"</f>
        <v>004810810468</v>
      </c>
      <c r="D140" s="4">
        <v>104331726</v>
      </c>
      <c r="E140" s="5">
        <v>43250</v>
      </c>
      <c r="F140" s="4">
        <v>2464</v>
      </c>
      <c r="G140" s="4">
        <v>5850</v>
      </c>
      <c r="H140" s="4" t="s">
        <v>280</v>
      </c>
      <c r="I140" s="4">
        <v>6655971007</v>
      </c>
      <c r="J140" s="4" t="s">
        <v>281</v>
      </c>
      <c r="K140" s="4" t="s">
        <v>282</v>
      </c>
      <c r="L140" s="4">
        <v>-7</v>
      </c>
      <c r="M140" s="4">
        <v>-7</v>
      </c>
      <c r="N140" s="4"/>
      <c r="O140" s="5">
        <v>44025</v>
      </c>
      <c r="P140" s="4" t="s">
        <v>283</v>
      </c>
    </row>
    <row r="141" spans="1:16">
      <c r="A141" s="4" t="s">
        <v>45</v>
      </c>
      <c r="B141" s="5">
        <v>43234</v>
      </c>
      <c r="C141" s="4" t="str">
        <f>"004810810469"</f>
        <v>004810810469</v>
      </c>
      <c r="D141" s="4">
        <v>104349759</v>
      </c>
      <c r="E141" s="5">
        <v>43250</v>
      </c>
      <c r="F141" s="4">
        <v>2408</v>
      </c>
      <c r="G141" s="4">
        <v>5850</v>
      </c>
      <c r="H141" s="4" t="s">
        <v>280</v>
      </c>
      <c r="I141" s="4">
        <v>6655971007</v>
      </c>
      <c r="J141" s="4" t="s">
        <v>281</v>
      </c>
      <c r="K141" s="4" t="s">
        <v>282</v>
      </c>
      <c r="L141" s="4">
        <v>-6.18</v>
      </c>
      <c r="M141" s="4">
        <v>-6.18</v>
      </c>
      <c r="N141" s="4"/>
      <c r="O141" s="5">
        <v>44025</v>
      </c>
      <c r="P141" s="4" t="s">
        <v>283</v>
      </c>
    </row>
    <row r="142" spans="1:16">
      <c r="A142" s="4" t="s">
        <v>45</v>
      </c>
      <c r="B142" s="5">
        <v>43234</v>
      </c>
      <c r="C142" s="4" t="str">
        <f>"004810810470"</f>
        <v>004810810470</v>
      </c>
      <c r="D142" s="4">
        <v>104357329</v>
      </c>
      <c r="E142" s="5">
        <v>43250</v>
      </c>
      <c r="F142" s="4">
        <v>2393</v>
      </c>
      <c r="G142" s="4">
        <v>5850</v>
      </c>
      <c r="H142" s="4" t="s">
        <v>280</v>
      </c>
      <c r="I142" s="4">
        <v>6655971007</v>
      </c>
      <c r="J142" s="4" t="s">
        <v>281</v>
      </c>
      <c r="K142" s="4" t="s">
        <v>282</v>
      </c>
      <c r="L142" s="4">
        <v>-115.86</v>
      </c>
      <c r="M142" s="4">
        <v>-115.86</v>
      </c>
      <c r="N142" s="4"/>
      <c r="O142" s="5">
        <v>44025</v>
      </c>
      <c r="P142" s="4" t="s">
        <v>283</v>
      </c>
    </row>
    <row r="143" spans="1:16">
      <c r="A143" s="4" t="s">
        <v>45</v>
      </c>
      <c r="B143" s="5">
        <v>43234</v>
      </c>
      <c r="C143" s="4" t="str">
        <f>"004810810471"</f>
        <v>004810810471</v>
      </c>
      <c r="D143" s="4">
        <v>104323321</v>
      </c>
      <c r="E143" s="5">
        <v>43250</v>
      </c>
      <c r="F143" s="4">
        <v>2474</v>
      </c>
      <c r="G143" s="4">
        <v>5850</v>
      </c>
      <c r="H143" s="4" t="s">
        <v>280</v>
      </c>
      <c r="I143" s="4">
        <v>6655971007</v>
      </c>
      <c r="J143" s="4" t="s">
        <v>281</v>
      </c>
      <c r="K143" s="4" t="s">
        <v>282</v>
      </c>
      <c r="L143" s="4">
        <v>-13.7</v>
      </c>
      <c r="M143" s="4">
        <v>-13.7</v>
      </c>
      <c r="N143" s="4"/>
      <c r="O143" s="5">
        <v>44025</v>
      </c>
      <c r="P143" s="4" t="s">
        <v>283</v>
      </c>
    </row>
    <row r="144" spans="1:16">
      <c r="A144" s="4" t="s">
        <v>45</v>
      </c>
      <c r="B144" s="5">
        <v>43234</v>
      </c>
      <c r="C144" s="4" t="str">
        <f>"004810810472"</f>
        <v>004810810472</v>
      </c>
      <c r="D144" s="4">
        <v>104357483</v>
      </c>
      <c r="E144" s="5">
        <v>43250</v>
      </c>
      <c r="F144" s="4">
        <v>2395</v>
      </c>
      <c r="G144" s="4">
        <v>5850</v>
      </c>
      <c r="H144" s="4" t="s">
        <v>280</v>
      </c>
      <c r="I144" s="4">
        <v>6655971007</v>
      </c>
      <c r="J144" s="4" t="s">
        <v>281</v>
      </c>
      <c r="K144" s="4" t="s">
        <v>282</v>
      </c>
      <c r="L144" s="4">
        <v>-40.47</v>
      </c>
      <c r="M144" s="4">
        <v>-40.47</v>
      </c>
      <c r="N144" s="4"/>
      <c r="O144" s="5">
        <v>44025</v>
      </c>
      <c r="P144" s="4" t="s">
        <v>283</v>
      </c>
    </row>
    <row r="145" spans="1:16">
      <c r="A145" s="4" t="s">
        <v>45</v>
      </c>
      <c r="B145" s="5">
        <v>43234</v>
      </c>
      <c r="C145" s="4" t="str">
        <f>"004810810473"</f>
        <v>004810810473</v>
      </c>
      <c r="D145" s="4">
        <v>104326383</v>
      </c>
      <c r="E145" s="5">
        <v>43250</v>
      </c>
      <c r="F145" s="4">
        <v>2448</v>
      </c>
      <c r="G145" s="4">
        <v>5850</v>
      </c>
      <c r="H145" s="4" t="s">
        <v>280</v>
      </c>
      <c r="I145" s="4">
        <v>6655971007</v>
      </c>
      <c r="J145" s="4" t="s">
        <v>281</v>
      </c>
      <c r="K145" s="4" t="s">
        <v>282</v>
      </c>
      <c r="L145" s="4">
        <v>-15.79</v>
      </c>
      <c r="M145" s="4">
        <v>-15.79</v>
      </c>
      <c r="N145" s="4"/>
      <c r="O145" s="5">
        <v>44025</v>
      </c>
      <c r="P145" s="4" t="s">
        <v>283</v>
      </c>
    </row>
    <row r="146" spans="1:16">
      <c r="A146" s="4" t="s">
        <v>45</v>
      </c>
      <c r="B146" s="5">
        <v>43234</v>
      </c>
      <c r="C146" s="4" t="str">
        <f>"004810810474"</f>
        <v>004810810474</v>
      </c>
      <c r="D146" s="4">
        <v>104347511</v>
      </c>
      <c r="E146" s="5">
        <v>43250</v>
      </c>
      <c r="F146" s="4">
        <v>2432</v>
      </c>
      <c r="G146" s="4">
        <v>5850</v>
      </c>
      <c r="H146" s="4" t="s">
        <v>280</v>
      </c>
      <c r="I146" s="4">
        <v>6655971007</v>
      </c>
      <c r="J146" s="4" t="s">
        <v>281</v>
      </c>
      <c r="K146" s="4" t="s">
        <v>282</v>
      </c>
      <c r="L146" s="4">
        <v>-12.34</v>
      </c>
      <c r="M146" s="4">
        <v>-12.34</v>
      </c>
      <c r="N146" s="4"/>
      <c r="O146" s="5">
        <v>44025</v>
      </c>
      <c r="P146" s="4" t="s">
        <v>283</v>
      </c>
    </row>
    <row r="147" spans="1:16">
      <c r="A147" s="4" t="s">
        <v>45</v>
      </c>
      <c r="B147" s="5">
        <v>43234</v>
      </c>
      <c r="C147" s="4" t="str">
        <f>"004810810475"</f>
        <v>004810810475</v>
      </c>
      <c r="D147" s="4">
        <v>104332303</v>
      </c>
      <c r="E147" s="5">
        <v>43250</v>
      </c>
      <c r="F147" s="4">
        <v>2455</v>
      </c>
      <c r="G147" s="4">
        <v>5850</v>
      </c>
      <c r="H147" s="4" t="s">
        <v>280</v>
      </c>
      <c r="I147" s="4">
        <v>6655971007</v>
      </c>
      <c r="J147" s="4" t="s">
        <v>281</v>
      </c>
      <c r="K147" s="4" t="s">
        <v>282</v>
      </c>
      <c r="L147" s="4">
        <v>-7.74</v>
      </c>
      <c r="M147" s="4">
        <v>-7.74</v>
      </c>
      <c r="N147" s="4"/>
      <c r="O147" s="5">
        <v>44025</v>
      </c>
      <c r="P147" s="4" t="s">
        <v>283</v>
      </c>
    </row>
    <row r="148" spans="1:16">
      <c r="A148" s="4" t="s">
        <v>45</v>
      </c>
      <c r="B148" s="5">
        <v>43234</v>
      </c>
      <c r="C148" s="4" t="str">
        <f>"004810810476"</f>
        <v>004810810476</v>
      </c>
      <c r="D148" s="4">
        <v>104323306</v>
      </c>
      <c r="E148" s="5">
        <v>43250</v>
      </c>
      <c r="F148" s="4">
        <v>2425</v>
      </c>
      <c r="G148" s="4">
        <v>5850</v>
      </c>
      <c r="H148" s="4" t="s">
        <v>280</v>
      </c>
      <c r="I148" s="4">
        <v>6655971007</v>
      </c>
      <c r="J148" s="4" t="s">
        <v>281</v>
      </c>
      <c r="K148" s="4" t="s">
        <v>282</v>
      </c>
      <c r="L148" s="4">
        <v>-16.559999999999999</v>
      </c>
      <c r="M148" s="4">
        <v>-16.559999999999999</v>
      </c>
      <c r="N148" s="4"/>
      <c r="O148" s="5">
        <v>44025</v>
      </c>
      <c r="P148" s="4" t="s">
        <v>283</v>
      </c>
    </row>
    <row r="149" spans="1:16">
      <c r="A149" s="4" t="s">
        <v>45</v>
      </c>
      <c r="B149" s="5">
        <v>43234</v>
      </c>
      <c r="C149" s="4" t="str">
        <f>"004810810477"</f>
        <v>004810810477</v>
      </c>
      <c r="D149" s="4">
        <v>104348435</v>
      </c>
      <c r="E149" s="5">
        <v>43250</v>
      </c>
      <c r="F149" s="4">
        <v>2404</v>
      </c>
      <c r="G149" s="4">
        <v>5850</v>
      </c>
      <c r="H149" s="4" t="s">
        <v>280</v>
      </c>
      <c r="I149" s="4">
        <v>6655971007</v>
      </c>
      <c r="J149" s="4" t="s">
        <v>281</v>
      </c>
      <c r="K149" s="4" t="s">
        <v>282</v>
      </c>
      <c r="L149" s="4">
        <v>-17.399999999999999</v>
      </c>
      <c r="M149" s="4">
        <v>-17.399999999999999</v>
      </c>
      <c r="N149" s="4"/>
      <c r="O149" s="5">
        <v>44025</v>
      </c>
      <c r="P149" s="4" t="s">
        <v>283</v>
      </c>
    </row>
    <row r="150" spans="1:16">
      <c r="A150" s="4" t="s">
        <v>45</v>
      </c>
      <c r="B150" s="5">
        <v>43234</v>
      </c>
      <c r="C150" s="4" t="str">
        <f>"004810810478"</f>
        <v>004810810478</v>
      </c>
      <c r="D150" s="4">
        <v>104337727</v>
      </c>
      <c r="E150" s="5">
        <v>43250</v>
      </c>
      <c r="F150" s="4">
        <v>2436</v>
      </c>
      <c r="G150" s="4">
        <v>5850</v>
      </c>
      <c r="H150" s="4" t="s">
        <v>280</v>
      </c>
      <c r="I150" s="4">
        <v>6655971007</v>
      </c>
      <c r="J150" s="4" t="s">
        <v>281</v>
      </c>
      <c r="K150" s="4" t="s">
        <v>282</v>
      </c>
      <c r="L150" s="4">
        <v>-18.510000000000002</v>
      </c>
      <c r="M150" s="4">
        <v>-18.510000000000002</v>
      </c>
      <c r="N150" s="4"/>
      <c r="O150" s="5">
        <v>44025</v>
      </c>
      <c r="P150" s="4" t="s">
        <v>283</v>
      </c>
    </row>
    <row r="151" spans="1:16">
      <c r="A151" s="4" t="s">
        <v>45</v>
      </c>
      <c r="B151" s="5">
        <v>43234</v>
      </c>
      <c r="C151" s="4" t="str">
        <f>"004810810479"</f>
        <v>004810810479</v>
      </c>
      <c r="D151" s="4">
        <v>104356241</v>
      </c>
      <c r="E151" s="5">
        <v>43250</v>
      </c>
      <c r="F151" s="4">
        <v>2417</v>
      </c>
      <c r="G151" s="4">
        <v>5850</v>
      </c>
      <c r="H151" s="4" t="s">
        <v>280</v>
      </c>
      <c r="I151" s="4">
        <v>6655971007</v>
      </c>
      <c r="J151" s="4" t="s">
        <v>281</v>
      </c>
      <c r="K151" s="4" t="s">
        <v>282</v>
      </c>
      <c r="L151" s="4">
        <v>-18.84</v>
      </c>
      <c r="M151" s="4">
        <v>-18.84</v>
      </c>
      <c r="N151" s="4"/>
      <c r="O151" s="5">
        <v>44025</v>
      </c>
      <c r="P151" s="4" t="s">
        <v>283</v>
      </c>
    </row>
    <row r="152" spans="1:16">
      <c r="A152" s="4" t="s">
        <v>45</v>
      </c>
      <c r="B152" s="5">
        <v>43234</v>
      </c>
      <c r="C152" s="4" t="str">
        <f>"004810810480"</f>
        <v>004810810480</v>
      </c>
      <c r="D152" s="4">
        <v>104325195</v>
      </c>
      <c r="E152" s="5">
        <v>43250</v>
      </c>
      <c r="F152" s="4">
        <v>2457</v>
      </c>
      <c r="G152" s="4">
        <v>5850</v>
      </c>
      <c r="H152" s="4" t="s">
        <v>280</v>
      </c>
      <c r="I152" s="4">
        <v>6655971007</v>
      </c>
      <c r="J152" s="4" t="s">
        <v>281</v>
      </c>
      <c r="K152" s="4" t="s">
        <v>282</v>
      </c>
      <c r="L152" s="4">
        <v>-19.11</v>
      </c>
      <c r="M152" s="4">
        <v>-19.11</v>
      </c>
      <c r="N152" s="4"/>
      <c r="O152" s="5">
        <v>44025</v>
      </c>
      <c r="P152" s="4" t="s">
        <v>283</v>
      </c>
    </row>
    <row r="153" spans="1:16">
      <c r="A153" s="4" t="s">
        <v>45</v>
      </c>
      <c r="B153" s="5">
        <v>43234</v>
      </c>
      <c r="C153" s="4" t="str">
        <f>"004810810481"</f>
        <v>004810810481</v>
      </c>
      <c r="D153" s="4">
        <v>104331137</v>
      </c>
      <c r="E153" s="5">
        <v>43250</v>
      </c>
      <c r="F153" s="4">
        <v>2472</v>
      </c>
      <c r="G153" s="4">
        <v>5850</v>
      </c>
      <c r="H153" s="4" t="s">
        <v>280</v>
      </c>
      <c r="I153" s="4">
        <v>6655971007</v>
      </c>
      <c r="J153" s="4" t="s">
        <v>281</v>
      </c>
      <c r="K153" s="4" t="s">
        <v>282</v>
      </c>
      <c r="L153" s="4">
        <v>-7.12</v>
      </c>
      <c r="M153" s="4">
        <v>-7.12</v>
      </c>
      <c r="N153" s="4"/>
      <c r="O153" s="5">
        <v>44025</v>
      </c>
      <c r="P153" s="4" t="s">
        <v>283</v>
      </c>
    </row>
    <row r="154" spans="1:16">
      <c r="A154" s="4" t="s">
        <v>45</v>
      </c>
      <c r="B154" s="5">
        <v>43234</v>
      </c>
      <c r="C154" s="4" t="str">
        <f>"004810810482"</f>
        <v>004810810482</v>
      </c>
      <c r="D154" s="4">
        <v>104322687</v>
      </c>
      <c r="E154" s="5">
        <v>43250</v>
      </c>
      <c r="F154" s="4">
        <v>2463</v>
      </c>
      <c r="G154" s="4">
        <v>5850</v>
      </c>
      <c r="H154" s="4" t="s">
        <v>280</v>
      </c>
      <c r="I154" s="4">
        <v>6655971007</v>
      </c>
      <c r="J154" s="4" t="s">
        <v>281</v>
      </c>
      <c r="K154" s="4" t="s">
        <v>282</v>
      </c>
      <c r="L154" s="4">
        <v>-28.89</v>
      </c>
      <c r="M154" s="4">
        <v>-28.89</v>
      </c>
      <c r="N154" s="4"/>
      <c r="O154" s="5">
        <v>44025</v>
      </c>
      <c r="P154" s="4" t="s">
        <v>283</v>
      </c>
    </row>
    <row r="155" spans="1:16">
      <c r="A155" s="4" t="s">
        <v>45</v>
      </c>
      <c r="B155" s="5">
        <v>43234</v>
      </c>
      <c r="C155" s="4" t="str">
        <f>"004810810483"</f>
        <v>004810810483</v>
      </c>
      <c r="D155" s="4">
        <v>104334470</v>
      </c>
      <c r="E155" s="5">
        <v>43250</v>
      </c>
      <c r="F155" s="4">
        <v>2451</v>
      </c>
      <c r="G155" s="4">
        <v>5850</v>
      </c>
      <c r="H155" s="4" t="s">
        <v>280</v>
      </c>
      <c r="I155" s="4">
        <v>6655971007</v>
      </c>
      <c r="J155" s="4" t="s">
        <v>281</v>
      </c>
      <c r="K155" s="4" t="s">
        <v>282</v>
      </c>
      <c r="L155" s="4">
        <v>-43.27</v>
      </c>
      <c r="M155" s="4">
        <v>-43.27</v>
      </c>
      <c r="N155" s="4"/>
      <c r="O155" s="5">
        <v>44025</v>
      </c>
      <c r="P155" s="4" t="s">
        <v>283</v>
      </c>
    </row>
    <row r="156" spans="1:16">
      <c r="A156" s="4" t="s">
        <v>45</v>
      </c>
      <c r="B156" s="5">
        <v>43234</v>
      </c>
      <c r="C156" s="4" t="str">
        <f>"004810810484"</f>
        <v>004810810484</v>
      </c>
      <c r="D156" s="4">
        <v>104326888</v>
      </c>
      <c r="E156" s="5">
        <v>43250</v>
      </c>
      <c r="F156" s="4">
        <v>2470</v>
      </c>
      <c r="G156" s="4">
        <v>5850</v>
      </c>
      <c r="H156" s="4" t="s">
        <v>280</v>
      </c>
      <c r="I156" s="4">
        <v>6655971007</v>
      </c>
      <c r="J156" s="4" t="s">
        <v>281</v>
      </c>
      <c r="K156" s="4" t="s">
        <v>282</v>
      </c>
      <c r="L156" s="4">
        <v>-32.31</v>
      </c>
      <c r="M156" s="4">
        <v>-32.31</v>
      </c>
      <c r="N156" s="4"/>
      <c r="O156" s="5">
        <v>44025</v>
      </c>
      <c r="P156" s="4" t="s">
        <v>283</v>
      </c>
    </row>
    <row r="157" spans="1:16">
      <c r="A157" s="4" t="s">
        <v>45</v>
      </c>
      <c r="B157" s="5">
        <v>43234</v>
      </c>
      <c r="C157" s="4" t="str">
        <f>"004810810485"</f>
        <v>004810810485</v>
      </c>
      <c r="D157" s="4">
        <v>104334613</v>
      </c>
      <c r="E157" s="5">
        <v>43250</v>
      </c>
      <c r="F157" s="4">
        <v>2461</v>
      </c>
      <c r="G157" s="4">
        <v>5850</v>
      </c>
      <c r="H157" s="4" t="s">
        <v>280</v>
      </c>
      <c r="I157" s="4">
        <v>6655971007</v>
      </c>
      <c r="J157" s="4" t="s">
        <v>281</v>
      </c>
      <c r="K157" s="4" t="s">
        <v>282</v>
      </c>
      <c r="L157" s="4">
        <v>-31.26</v>
      </c>
      <c r="M157" s="4">
        <v>-31.26</v>
      </c>
      <c r="N157" s="4"/>
      <c r="O157" s="5">
        <v>44025</v>
      </c>
      <c r="P157" s="4" t="s">
        <v>283</v>
      </c>
    </row>
    <row r="158" spans="1:16">
      <c r="A158" s="4" t="s">
        <v>45</v>
      </c>
      <c r="B158" s="5">
        <v>43234</v>
      </c>
      <c r="C158" s="4" t="str">
        <f>"004810818321"</f>
        <v>004810818321</v>
      </c>
      <c r="D158" s="4">
        <v>104326487</v>
      </c>
      <c r="E158" s="5">
        <v>43250</v>
      </c>
      <c r="F158" s="4">
        <v>2424</v>
      </c>
      <c r="G158" s="4">
        <v>5850</v>
      </c>
      <c r="H158" s="4" t="s">
        <v>280</v>
      </c>
      <c r="I158" s="4">
        <v>6655971007</v>
      </c>
      <c r="J158" s="4" t="s">
        <v>281</v>
      </c>
      <c r="K158" s="4" t="s">
        <v>282</v>
      </c>
      <c r="L158" s="4">
        <v>-21.64</v>
      </c>
      <c r="M158" s="4">
        <v>-21.64</v>
      </c>
      <c r="N158" s="4"/>
      <c r="O158" s="5">
        <v>44025</v>
      </c>
      <c r="P158" s="4" t="s">
        <v>283</v>
      </c>
    </row>
    <row r="159" spans="1:16">
      <c r="A159" s="4" t="s">
        <v>45</v>
      </c>
      <c r="B159" s="5">
        <v>43234</v>
      </c>
      <c r="C159" s="4" t="str">
        <f>"004810822281"</f>
        <v>004810822281</v>
      </c>
      <c r="D159" s="4">
        <v>104336934</v>
      </c>
      <c r="E159" s="5">
        <v>43250</v>
      </c>
      <c r="F159" s="4">
        <v>2454</v>
      </c>
      <c r="G159" s="4">
        <v>5850</v>
      </c>
      <c r="H159" s="4" t="s">
        <v>280</v>
      </c>
      <c r="I159" s="4">
        <v>6655971007</v>
      </c>
      <c r="J159" s="4" t="s">
        <v>281</v>
      </c>
      <c r="K159" s="4" t="s">
        <v>282</v>
      </c>
      <c r="L159" s="4">
        <v>-14.32</v>
      </c>
      <c r="M159" s="4">
        <v>-14.32</v>
      </c>
      <c r="N159" s="4"/>
      <c r="O159" s="5">
        <v>44025</v>
      </c>
      <c r="P159" s="4" t="s">
        <v>283</v>
      </c>
    </row>
    <row r="160" spans="1:16">
      <c r="A160" s="4" t="s">
        <v>45</v>
      </c>
      <c r="B160" s="5">
        <v>43234</v>
      </c>
      <c r="C160" s="4" t="str">
        <f>"004810822282"</f>
        <v>004810822282</v>
      </c>
      <c r="D160" s="4">
        <v>104326542</v>
      </c>
      <c r="E160" s="5">
        <v>43250</v>
      </c>
      <c r="F160" s="4">
        <v>2423</v>
      </c>
      <c r="G160" s="4">
        <v>5850</v>
      </c>
      <c r="H160" s="4" t="s">
        <v>280</v>
      </c>
      <c r="I160" s="4">
        <v>6655971007</v>
      </c>
      <c r="J160" s="4" t="s">
        <v>281</v>
      </c>
      <c r="K160" s="4" t="s">
        <v>282</v>
      </c>
      <c r="L160" s="4">
        <v>-12</v>
      </c>
      <c r="M160" s="4">
        <v>-12</v>
      </c>
      <c r="N160" s="4"/>
      <c r="O160" s="5">
        <v>44025</v>
      </c>
      <c r="P160" s="4" t="s">
        <v>283</v>
      </c>
    </row>
    <row r="161" spans="1:16">
      <c r="A161" s="4" t="s">
        <v>45</v>
      </c>
      <c r="B161" s="5">
        <v>43234</v>
      </c>
      <c r="C161" s="4" t="str">
        <f>"004810822283"</f>
        <v>004810822283</v>
      </c>
      <c r="D161" s="4">
        <v>104334578</v>
      </c>
      <c r="E161" s="5">
        <v>43250</v>
      </c>
      <c r="F161" s="4">
        <v>2449</v>
      </c>
      <c r="G161" s="4">
        <v>5850</v>
      </c>
      <c r="H161" s="4" t="s">
        <v>280</v>
      </c>
      <c r="I161" s="4">
        <v>6655971007</v>
      </c>
      <c r="J161" s="4" t="s">
        <v>281</v>
      </c>
      <c r="K161" s="4" t="s">
        <v>282</v>
      </c>
      <c r="L161" s="4">
        <v>-7.11</v>
      </c>
      <c r="M161" s="4">
        <v>-7.11</v>
      </c>
      <c r="N161" s="4"/>
      <c r="O161" s="5">
        <v>44025</v>
      </c>
      <c r="P161" s="4" t="s">
        <v>283</v>
      </c>
    </row>
    <row r="162" spans="1:16">
      <c r="A162" s="4" t="s">
        <v>45</v>
      </c>
      <c r="B162" s="5">
        <v>43234</v>
      </c>
      <c r="C162" s="4" t="str">
        <f>"004810822284"</f>
        <v>004810822284</v>
      </c>
      <c r="D162" s="4">
        <v>104349817</v>
      </c>
      <c r="E162" s="5">
        <v>43250</v>
      </c>
      <c r="F162" s="4">
        <v>2389</v>
      </c>
      <c r="G162" s="4">
        <v>5850</v>
      </c>
      <c r="H162" s="4" t="s">
        <v>280</v>
      </c>
      <c r="I162" s="4">
        <v>6655971007</v>
      </c>
      <c r="J162" s="4" t="s">
        <v>281</v>
      </c>
      <c r="K162" s="4" t="s">
        <v>282</v>
      </c>
      <c r="L162" s="4">
        <v>-13.51</v>
      </c>
      <c r="M162" s="4">
        <v>-13.51</v>
      </c>
      <c r="N162" s="4"/>
      <c r="O162" s="5">
        <v>44025</v>
      </c>
      <c r="P162" s="4" t="s">
        <v>283</v>
      </c>
    </row>
    <row r="163" spans="1:16">
      <c r="A163" s="4" t="s">
        <v>45</v>
      </c>
      <c r="B163" s="5">
        <v>43234</v>
      </c>
      <c r="C163" s="4" t="str">
        <f>"004810822285"</f>
        <v>004810822285</v>
      </c>
      <c r="D163" s="4">
        <v>104344667</v>
      </c>
      <c r="E163" s="5">
        <v>43250</v>
      </c>
      <c r="F163" s="4">
        <v>2400</v>
      </c>
      <c r="G163" s="4">
        <v>5850</v>
      </c>
      <c r="H163" s="4" t="s">
        <v>280</v>
      </c>
      <c r="I163" s="4">
        <v>6655971007</v>
      </c>
      <c r="J163" s="4" t="s">
        <v>281</v>
      </c>
      <c r="K163" s="4" t="s">
        <v>282</v>
      </c>
      <c r="L163" s="4">
        <v>-12.88</v>
      </c>
      <c r="M163" s="4">
        <v>-12.88</v>
      </c>
      <c r="N163" s="4"/>
      <c r="O163" s="5">
        <v>44025</v>
      </c>
      <c r="P163" s="4" t="s">
        <v>283</v>
      </c>
    </row>
    <row r="164" spans="1:16">
      <c r="A164" s="4" t="s">
        <v>45</v>
      </c>
      <c r="B164" s="5">
        <v>43234</v>
      </c>
      <c r="C164" s="4" t="str">
        <f>"004810822286"</f>
        <v>004810822286</v>
      </c>
      <c r="D164" s="4">
        <v>104354767</v>
      </c>
      <c r="E164" s="5">
        <v>43250</v>
      </c>
      <c r="F164" s="4">
        <v>2407</v>
      </c>
      <c r="G164" s="4">
        <v>5850</v>
      </c>
      <c r="H164" s="4" t="s">
        <v>280</v>
      </c>
      <c r="I164" s="4">
        <v>6655971007</v>
      </c>
      <c r="J164" s="4" t="s">
        <v>281</v>
      </c>
      <c r="K164" s="4" t="s">
        <v>282</v>
      </c>
      <c r="L164" s="4">
        <v>-7.8</v>
      </c>
      <c r="M164" s="4">
        <v>-7.8</v>
      </c>
      <c r="N164" s="4"/>
      <c r="O164" s="5">
        <v>44025</v>
      </c>
      <c r="P164" s="4" t="s">
        <v>283</v>
      </c>
    </row>
    <row r="165" spans="1:16">
      <c r="A165" s="4" t="s">
        <v>45</v>
      </c>
      <c r="B165" s="5">
        <v>43234</v>
      </c>
      <c r="C165" s="4" t="str">
        <f>"004810822287"</f>
        <v>004810822287</v>
      </c>
      <c r="D165" s="4">
        <v>104338023</v>
      </c>
      <c r="E165" s="5">
        <v>43250</v>
      </c>
      <c r="F165" s="4">
        <v>2468</v>
      </c>
      <c r="G165" s="4">
        <v>5850</v>
      </c>
      <c r="H165" s="4" t="s">
        <v>280</v>
      </c>
      <c r="I165" s="4">
        <v>6655971007</v>
      </c>
      <c r="J165" s="4" t="s">
        <v>281</v>
      </c>
      <c r="K165" s="4" t="s">
        <v>282</v>
      </c>
      <c r="L165" s="4">
        <v>-12.66</v>
      </c>
      <c r="M165" s="4">
        <v>-12.66</v>
      </c>
      <c r="N165" s="4"/>
      <c r="O165" s="5">
        <v>44025</v>
      </c>
      <c r="P165" s="4" t="s">
        <v>283</v>
      </c>
    </row>
    <row r="166" spans="1:16">
      <c r="A166" s="4" t="s">
        <v>45</v>
      </c>
      <c r="B166" s="5">
        <v>43234</v>
      </c>
      <c r="C166" s="4" t="str">
        <f>"004810822288"</f>
        <v>004810822288</v>
      </c>
      <c r="D166" s="4">
        <v>104338723</v>
      </c>
      <c r="E166" s="5">
        <v>43250</v>
      </c>
      <c r="F166" s="4">
        <v>2433</v>
      </c>
      <c r="G166" s="4">
        <v>5850</v>
      </c>
      <c r="H166" s="4" t="s">
        <v>280</v>
      </c>
      <c r="I166" s="4">
        <v>6655971007</v>
      </c>
      <c r="J166" s="4" t="s">
        <v>281</v>
      </c>
      <c r="K166" s="4" t="s">
        <v>282</v>
      </c>
      <c r="L166" s="4">
        <v>-17.02</v>
      </c>
      <c r="M166" s="4">
        <v>-17.02</v>
      </c>
      <c r="N166" s="4"/>
      <c r="O166" s="5">
        <v>44025</v>
      </c>
      <c r="P166" s="4" t="s">
        <v>283</v>
      </c>
    </row>
    <row r="167" spans="1:16">
      <c r="A167" s="4" t="s">
        <v>45</v>
      </c>
      <c r="B167" s="5">
        <v>43234</v>
      </c>
      <c r="C167" s="4" t="str">
        <f>"004810822289"</f>
        <v>004810822289</v>
      </c>
      <c r="D167" s="4">
        <v>104325478</v>
      </c>
      <c r="E167" s="5">
        <v>43250</v>
      </c>
      <c r="F167" s="4">
        <v>2427</v>
      </c>
      <c r="G167" s="4">
        <v>5850</v>
      </c>
      <c r="H167" s="4" t="s">
        <v>280</v>
      </c>
      <c r="I167" s="4">
        <v>6655971007</v>
      </c>
      <c r="J167" s="4" t="s">
        <v>281</v>
      </c>
      <c r="K167" s="4" t="s">
        <v>282</v>
      </c>
      <c r="L167" s="4">
        <v>-14.64</v>
      </c>
      <c r="M167" s="4">
        <v>-14.64</v>
      </c>
      <c r="N167" s="4"/>
      <c r="O167" s="5">
        <v>44025</v>
      </c>
      <c r="P167" s="4" t="s">
        <v>283</v>
      </c>
    </row>
    <row r="168" spans="1:16">
      <c r="A168" s="4" t="s">
        <v>45</v>
      </c>
      <c r="B168" s="5">
        <v>43234</v>
      </c>
      <c r="C168" s="4" t="str">
        <f>"004810839289"</f>
        <v>004810839289</v>
      </c>
      <c r="D168" s="4">
        <v>104350719</v>
      </c>
      <c r="E168" s="5">
        <v>43250</v>
      </c>
      <c r="F168" s="4">
        <v>2388</v>
      </c>
      <c r="G168" s="4">
        <v>5850</v>
      </c>
      <c r="H168" s="4" t="s">
        <v>280</v>
      </c>
      <c r="I168" s="4">
        <v>6655971007</v>
      </c>
      <c r="J168" s="4" t="s">
        <v>281</v>
      </c>
      <c r="K168" s="4" t="s">
        <v>282</v>
      </c>
      <c r="L168" s="4">
        <v>-28.42</v>
      </c>
      <c r="M168" s="4">
        <v>-28.42</v>
      </c>
      <c r="N168" s="4"/>
      <c r="O168" s="5">
        <v>44025</v>
      </c>
      <c r="P168" s="4" t="s">
        <v>283</v>
      </c>
    </row>
    <row r="169" spans="1:16">
      <c r="A169" s="4" t="s">
        <v>45</v>
      </c>
      <c r="B169" s="5">
        <v>43234</v>
      </c>
      <c r="C169" s="4" t="str">
        <f>"004810839290"</f>
        <v>004810839290</v>
      </c>
      <c r="D169" s="4">
        <v>104333921</v>
      </c>
      <c r="E169" s="5">
        <v>43250</v>
      </c>
      <c r="F169" s="4">
        <v>2471</v>
      </c>
      <c r="G169" s="4">
        <v>5850</v>
      </c>
      <c r="H169" s="4" t="s">
        <v>280</v>
      </c>
      <c r="I169" s="4">
        <v>6655971007</v>
      </c>
      <c r="J169" s="4" t="s">
        <v>281</v>
      </c>
      <c r="K169" s="4" t="s">
        <v>282</v>
      </c>
      <c r="L169" s="4">
        <v>-12.34</v>
      </c>
      <c r="M169" s="4">
        <v>-12.34</v>
      </c>
      <c r="N169" s="4"/>
      <c r="O169" s="5">
        <v>44025</v>
      </c>
      <c r="P169" s="4" t="s">
        <v>283</v>
      </c>
    </row>
    <row r="170" spans="1:16">
      <c r="A170" s="4" t="s">
        <v>45</v>
      </c>
      <c r="B170" s="5">
        <v>43234</v>
      </c>
      <c r="C170" s="4" t="str">
        <f>"004810839291"</f>
        <v>004810839291</v>
      </c>
      <c r="D170" s="4">
        <v>104360770</v>
      </c>
      <c r="E170" s="5">
        <v>43250</v>
      </c>
      <c r="F170" s="4">
        <v>2497</v>
      </c>
      <c r="G170" s="4">
        <v>5850</v>
      </c>
      <c r="H170" s="4" t="s">
        <v>280</v>
      </c>
      <c r="I170" s="4">
        <v>6655971007</v>
      </c>
      <c r="J170" s="4" t="s">
        <v>281</v>
      </c>
      <c r="K170" s="4" t="s">
        <v>282</v>
      </c>
      <c r="L170" s="4">
        <v>-12.34</v>
      </c>
      <c r="M170" s="4">
        <v>-12.34</v>
      </c>
      <c r="N170" s="4"/>
      <c r="O170" s="5">
        <v>44025</v>
      </c>
      <c r="P170" s="4" t="s">
        <v>283</v>
      </c>
    </row>
    <row r="171" spans="1:16">
      <c r="A171" s="4" t="s">
        <v>45</v>
      </c>
      <c r="B171" s="5">
        <v>43234</v>
      </c>
      <c r="C171" s="4" t="str">
        <f>"004810839292"</f>
        <v>004810839292</v>
      </c>
      <c r="D171" s="4">
        <v>104360164</v>
      </c>
      <c r="E171" s="5">
        <v>43250</v>
      </c>
      <c r="F171" s="4">
        <v>2405</v>
      </c>
      <c r="G171" s="4">
        <v>5850</v>
      </c>
      <c r="H171" s="4" t="s">
        <v>280</v>
      </c>
      <c r="I171" s="4">
        <v>6655971007</v>
      </c>
      <c r="J171" s="4" t="s">
        <v>281</v>
      </c>
      <c r="K171" s="4" t="s">
        <v>282</v>
      </c>
      <c r="L171" s="4">
        <v>-12.34</v>
      </c>
      <c r="M171" s="4">
        <v>-12.34</v>
      </c>
      <c r="N171" s="4"/>
      <c r="O171" s="5">
        <v>44025</v>
      </c>
      <c r="P171" s="4" t="s">
        <v>283</v>
      </c>
    </row>
    <row r="172" spans="1:16">
      <c r="A172" s="4" t="s">
        <v>45</v>
      </c>
      <c r="B172" s="5">
        <v>43234</v>
      </c>
      <c r="C172" s="4" t="str">
        <f>"004810839293"</f>
        <v>004810839293</v>
      </c>
      <c r="D172" s="4">
        <v>104360315</v>
      </c>
      <c r="E172" s="5">
        <v>43250</v>
      </c>
      <c r="F172" s="4">
        <v>2426</v>
      </c>
      <c r="G172" s="4">
        <v>5850</v>
      </c>
      <c r="H172" s="4" t="s">
        <v>280</v>
      </c>
      <c r="I172" s="4">
        <v>6655971007</v>
      </c>
      <c r="J172" s="4" t="s">
        <v>281</v>
      </c>
      <c r="K172" s="4" t="s">
        <v>282</v>
      </c>
      <c r="L172" s="4">
        <v>-12.34</v>
      </c>
      <c r="M172" s="4">
        <v>-12.34</v>
      </c>
      <c r="N172" s="4"/>
      <c r="O172" s="5">
        <v>44025</v>
      </c>
      <c r="P172" s="4" t="s">
        <v>283</v>
      </c>
    </row>
    <row r="173" spans="1:16">
      <c r="A173" s="4" t="s">
        <v>45</v>
      </c>
      <c r="B173" s="5">
        <v>43234</v>
      </c>
      <c r="C173" s="4" t="str">
        <f>"004810839294"</f>
        <v>004810839294</v>
      </c>
      <c r="D173" s="4">
        <v>104329048</v>
      </c>
      <c r="E173" s="5">
        <v>43250</v>
      </c>
      <c r="F173" s="4">
        <v>2447</v>
      </c>
      <c r="G173" s="4">
        <v>5850</v>
      </c>
      <c r="H173" s="4" t="s">
        <v>280</v>
      </c>
      <c r="I173" s="4">
        <v>6655971007</v>
      </c>
      <c r="J173" s="4" t="s">
        <v>281</v>
      </c>
      <c r="K173" s="4" t="s">
        <v>282</v>
      </c>
      <c r="L173" s="4">
        <v>-7.18</v>
      </c>
      <c r="M173" s="4">
        <v>-7.18</v>
      </c>
      <c r="N173" s="4"/>
      <c r="O173" s="5">
        <v>44025</v>
      </c>
      <c r="P173" s="4" t="s">
        <v>283</v>
      </c>
    </row>
    <row r="174" spans="1:16">
      <c r="A174" s="4" t="s">
        <v>45</v>
      </c>
      <c r="B174" s="5">
        <v>43234</v>
      </c>
      <c r="C174" s="4" t="str">
        <f>"004810839295"</f>
        <v>004810839295</v>
      </c>
      <c r="D174" s="4">
        <v>104337445</v>
      </c>
      <c r="E174" s="5">
        <v>43250</v>
      </c>
      <c r="F174" s="4">
        <v>2462</v>
      </c>
      <c r="G174" s="4">
        <v>5850</v>
      </c>
      <c r="H174" s="4" t="s">
        <v>280</v>
      </c>
      <c r="I174" s="4">
        <v>6655971007</v>
      </c>
      <c r="J174" s="4" t="s">
        <v>281</v>
      </c>
      <c r="K174" s="4" t="s">
        <v>282</v>
      </c>
      <c r="L174" s="4">
        <v>-13.98</v>
      </c>
      <c r="M174" s="4">
        <v>-13.98</v>
      </c>
      <c r="N174" s="4"/>
      <c r="O174" s="5">
        <v>44025</v>
      </c>
      <c r="P174" s="4" t="s">
        <v>283</v>
      </c>
    </row>
    <row r="175" spans="1:16">
      <c r="A175" s="4" t="s">
        <v>45</v>
      </c>
      <c r="B175" s="5">
        <v>43234</v>
      </c>
      <c r="C175" s="4" t="str">
        <f>"004810839296"</f>
        <v>004810839296</v>
      </c>
      <c r="D175" s="4">
        <v>104361934</v>
      </c>
      <c r="E175" s="5">
        <v>43250</v>
      </c>
      <c r="F175" s="4">
        <v>2398</v>
      </c>
      <c r="G175" s="4">
        <v>5850</v>
      </c>
      <c r="H175" s="4" t="s">
        <v>280</v>
      </c>
      <c r="I175" s="4">
        <v>6655971007</v>
      </c>
      <c r="J175" s="4" t="s">
        <v>281</v>
      </c>
      <c r="K175" s="4" t="s">
        <v>282</v>
      </c>
      <c r="L175" s="4">
        <v>-14.06</v>
      </c>
      <c r="M175" s="4">
        <v>-14.06</v>
      </c>
      <c r="N175" s="4"/>
      <c r="O175" s="5">
        <v>44025</v>
      </c>
      <c r="P175" s="4" t="s">
        <v>283</v>
      </c>
    </row>
    <row r="176" spans="1:16">
      <c r="A176" s="4" t="s">
        <v>45</v>
      </c>
      <c r="B176" s="5">
        <v>43234</v>
      </c>
      <c r="C176" s="4" t="str">
        <f>"004810839297"</f>
        <v>004810839297</v>
      </c>
      <c r="D176" s="4">
        <v>104341064</v>
      </c>
      <c r="E176" s="5">
        <v>43250</v>
      </c>
      <c r="F176" s="4">
        <v>2496</v>
      </c>
      <c r="G176" s="4">
        <v>5850</v>
      </c>
      <c r="H176" s="4" t="s">
        <v>280</v>
      </c>
      <c r="I176" s="4">
        <v>6655971007</v>
      </c>
      <c r="J176" s="4" t="s">
        <v>281</v>
      </c>
      <c r="K176" s="4" t="s">
        <v>282</v>
      </c>
      <c r="L176" s="4">
        <v>-13</v>
      </c>
      <c r="M176" s="4">
        <v>-13</v>
      </c>
      <c r="N176" s="4"/>
      <c r="O176" s="5">
        <v>44025</v>
      </c>
      <c r="P176" s="4" t="s">
        <v>283</v>
      </c>
    </row>
    <row r="177" spans="1:16">
      <c r="A177" s="4" t="s">
        <v>45</v>
      </c>
      <c r="B177" s="5">
        <v>43234</v>
      </c>
      <c r="C177" s="4" t="str">
        <f>"004810839298"</f>
        <v>004810839298</v>
      </c>
      <c r="D177" s="4">
        <v>104325356</v>
      </c>
      <c r="E177" s="5">
        <v>43250</v>
      </c>
      <c r="F177" s="4">
        <v>2466</v>
      </c>
      <c r="G177" s="4">
        <v>5850</v>
      </c>
      <c r="H177" s="4" t="s">
        <v>280</v>
      </c>
      <c r="I177" s="4">
        <v>6655971007</v>
      </c>
      <c r="J177" s="4" t="s">
        <v>281</v>
      </c>
      <c r="K177" s="4" t="s">
        <v>282</v>
      </c>
      <c r="L177" s="4">
        <v>-13</v>
      </c>
      <c r="M177" s="4">
        <v>-13</v>
      </c>
      <c r="N177" s="4"/>
      <c r="O177" s="5">
        <v>44025</v>
      </c>
      <c r="P177" s="4" t="s">
        <v>283</v>
      </c>
    </row>
    <row r="178" spans="1:16">
      <c r="A178" s="4" t="s">
        <v>45</v>
      </c>
      <c r="B178" s="5">
        <v>43234</v>
      </c>
      <c r="C178" s="4" t="str">
        <f>"004810839299"</f>
        <v>004810839299</v>
      </c>
      <c r="D178" s="4">
        <v>104361417</v>
      </c>
      <c r="E178" s="5">
        <v>43250</v>
      </c>
      <c r="F178" s="4">
        <v>2435</v>
      </c>
      <c r="G178" s="4">
        <v>5850</v>
      </c>
      <c r="H178" s="4" t="s">
        <v>280</v>
      </c>
      <c r="I178" s="4">
        <v>6655971007</v>
      </c>
      <c r="J178" s="4" t="s">
        <v>281</v>
      </c>
      <c r="K178" s="4" t="s">
        <v>282</v>
      </c>
      <c r="L178" s="4">
        <v>-12.91</v>
      </c>
      <c r="M178" s="4">
        <v>-12.91</v>
      </c>
      <c r="N178" s="4"/>
      <c r="O178" s="5">
        <v>44025</v>
      </c>
      <c r="P178" s="4" t="s">
        <v>283</v>
      </c>
    </row>
    <row r="179" spans="1:16">
      <c r="A179" s="4" t="s">
        <v>45</v>
      </c>
      <c r="B179" s="5">
        <v>43234</v>
      </c>
      <c r="C179" s="4" t="str">
        <f>"004810839300"</f>
        <v>004810839300</v>
      </c>
      <c r="D179" s="4">
        <v>104328724</v>
      </c>
      <c r="E179" s="5">
        <v>43250</v>
      </c>
      <c r="F179" s="4">
        <v>2445</v>
      </c>
      <c r="G179" s="4">
        <v>5850</v>
      </c>
      <c r="H179" s="4" t="s">
        <v>280</v>
      </c>
      <c r="I179" s="4">
        <v>6655971007</v>
      </c>
      <c r="J179" s="4" t="s">
        <v>281</v>
      </c>
      <c r="K179" s="4" t="s">
        <v>282</v>
      </c>
      <c r="L179" s="4">
        <v>-12.88</v>
      </c>
      <c r="M179" s="4">
        <v>-12.88</v>
      </c>
      <c r="N179" s="4"/>
      <c r="O179" s="5">
        <v>44025</v>
      </c>
      <c r="P179" s="4" t="s">
        <v>283</v>
      </c>
    </row>
    <row r="180" spans="1:16">
      <c r="A180" s="4" t="s">
        <v>45</v>
      </c>
      <c r="B180" s="5">
        <v>43234</v>
      </c>
      <c r="C180" s="4" t="str">
        <f>"004810839301"</f>
        <v>004810839301</v>
      </c>
      <c r="D180" s="4">
        <v>104323918</v>
      </c>
      <c r="E180" s="5">
        <v>43250</v>
      </c>
      <c r="F180" s="4">
        <v>2467</v>
      </c>
      <c r="G180" s="4">
        <v>5850</v>
      </c>
      <c r="H180" s="4" t="s">
        <v>280</v>
      </c>
      <c r="I180" s="4">
        <v>6655971007</v>
      </c>
      <c r="J180" s="4" t="s">
        <v>281</v>
      </c>
      <c r="K180" s="4" t="s">
        <v>282</v>
      </c>
      <c r="L180" s="4">
        <v>-12.66</v>
      </c>
      <c r="M180" s="4">
        <v>-12.66</v>
      </c>
      <c r="N180" s="4"/>
      <c r="O180" s="5">
        <v>44025</v>
      </c>
      <c r="P180" s="4" t="s">
        <v>283</v>
      </c>
    </row>
    <row r="181" spans="1:16">
      <c r="A181" s="4" t="s">
        <v>45</v>
      </c>
      <c r="B181" s="5">
        <v>43234</v>
      </c>
      <c r="C181" s="4" t="str">
        <f>"004810839302"</f>
        <v>004810839302</v>
      </c>
      <c r="D181" s="4">
        <v>104351127</v>
      </c>
      <c r="E181" s="5">
        <v>43250</v>
      </c>
      <c r="F181" s="4">
        <v>2443</v>
      </c>
      <c r="G181" s="4">
        <v>5850</v>
      </c>
      <c r="H181" s="4" t="s">
        <v>280</v>
      </c>
      <c r="I181" s="4">
        <v>6655971007</v>
      </c>
      <c r="J181" s="4" t="s">
        <v>281</v>
      </c>
      <c r="K181" s="4" t="s">
        <v>282</v>
      </c>
      <c r="L181" s="4">
        <v>-12.66</v>
      </c>
      <c r="M181" s="4">
        <v>-12.66</v>
      </c>
      <c r="N181" s="4"/>
      <c r="O181" s="5">
        <v>44025</v>
      </c>
      <c r="P181" s="4" t="s">
        <v>283</v>
      </c>
    </row>
    <row r="182" spans="1:16">
      <c r="A182" s="4" t="s">
        <v>45</v>
      </c>
      <c r="B182" s="5">
        <v>43234</v>
      </c>
      <c r="C182" s="4" t="str">
        <f>"004810839303"</f>
        <v>004810839303</v>
      </c>
      <c r="D182" s="4">
        <v>104342484</v>
      </c>
      <c r="E182" s="5">
        <v>43250</v>
      </c>
      <c r="F182" s="4">
        <v>2392</v>
      </c>
      <c r="G182" s="4">
        <v>5850</v>
      </c>
      <c r="H182" s="4" t="s">
        <v>280</v>
      </c>
      <c r="I182" s="4">
        <v>6655971007</v>
      </c>
      <c r="J182" s="4" t="s">
        <v>281</v>
      </c>
      <c r="K182" s="4" t="s">
        <v>282</v>
      </c>
      <c r="L182" s="4">
        <v>-12.34</v>
      </c>
      <c r="M182" s="4">
        <v>-12.34</v>
      </c>
      <c r="N182" s="4"/>
      <c r="O182" s="5">
        <v>44025</v>
      </c>
      <c r="P182" s="4" t="s">
        <v>283</v>
      </c>
    </row>
    <row r="183" spans="1:16">
      <c r="A183" s="4" t="s">
        <v>45</v>
      </c>
      <c r="B183" s="5">
        <v>43234</v>
      </c>
      <c r="C183" s="4" t="str">
        <f>"004810839304"</f>
        <v>004810839304</v>
      </c>
      <c r="D183" s="4">
        <v>104349984</v>
      </c>
      <c r="E183" s="5">
        <v>43250</v>
      </c>
      <c r="F183" s="4">
        <v>2394</v>
      </c>
      <c r="G183" s="4">
        <v>5850</v>
      </c>
      <c r="H183" s="4" t="s">
        <v>280</v>
      </c>
      <c r="I183" s="4">
        <v>6655971007</v>
      </c>
      <c r="J183" s="4" t="s">
        <v>281</v>
      </c>
      <c r="K183" s="4" t="s">
        <v>282</v>
      </c>
      <c r="L183" s="4">
        <v>-6.41</v>
      </c>
      <c r="M183" s="4">
        <v>-6.41</v>
      </c>
      <c r="N183" s="4"/>
      <c r="O183" s="5">
        <v>44025</v>
      </c>
      <c r="P183" s="4" t="s">
        <v>283</v>
      </c>
    </row>
    <row r="184" spans="1:16">
      <c r="A184" s="4" t="s">
        <v>45</v>
      </c>
      <c r="B184" s="5">
        <v>43234</v>
      </c>
      <c r="C184" s="4" t="str">
        <f>"004810839305"</f>
        <v>004810839305</v>
      </c>
      <c r="D184" s="4">
        <v>104364723</v>
      </c>
      <c r="E184" s="5">
        <v>43250</v>
      </c>
      <c r="F184" s="4">
        <v>2390</v>
      </c>
      <c r="G184" s="4">
        <v>5850</v>
      </c>
      <c r="H184" s="4" t="s">
        <v>280</v>
      </c>
      <c r="I184" s="4">
        <v>6655971007</v>
      </c>
      <c r="J184" s="4" t="s">
        <v>281</v>
      </c>
      <c r="K184" s="4" t="s">
        <v>282</v>
      </c>
      <c r="L184" s="4">
        <v>-29.46</v>
      </c>
      <c r="M184" s="4">
        <v>-29.46</v>
      </c>
      <c r="N184" s="4"/>
      <c r="O184" s="5">
        <v>44025</v>
      </c>
      <c r="P184" s="4" t="s">
        <v>283</v>
      </c>
    </row>
    <row r="185" spans="1:16">
      <c r="A185" s="4" t="s">
        <v>45</v>
      </c>
      <c r="B185" s="5">
        <v>43234</v>
      </c>
      <c r="C185" s="4" t="str">
        <f>"004810839306"</f>
        <v>004810839306</v>
      </c>
      <c r="D185" s="4">
        <v>104327000</v>
      </c>
      <c r="E185" s="5">
        <v>43250</v>
      </c>
      <c r="F185" s="4">
        <v>2444</v>
      </c>
      <c r="G185" s="4">
        <v>5850</v>
      </c>
      <c r="H185" s="4" t="s">
        <v>280</v>
      </c>
      <c r="I185" s="4">
        <v>6655971007</v>
      </c>
      <c r="J185" s="4" t="s">
        <v>281</v>
      </c>
      <c r="K185" s="4" t="s">
        <v>282</v>
      </c>
      <c r="L185" s="4">
        <v>-12.34</v>
      </c>
      <c r="M185" s="4">
        <v>-12.34</v>
      </c>
      <c r="N185" s="4"/>
      <c r="O185" s="5">
        <v>44025</v>
      </c>
      <c r="P185" s="4" t="s">
        <v>283</v>
      </c>
    </row>
    <row r="186" spans="1:16">
      <c r="A186" s="4" t="s">
        <v>45</v>
      </c>
      <c r="B186" s="5">
        <v>43234</v>
      </c>
      <c r="C186" s="4" t="str">
        <f>"004810839307"</f>
        <v>004810839307</v>
      </c>
      <c r="D186" s="4">
        <v>104325700</v>
      </c>
      <c r="E186" s="5">
        <v>43250</v>
      </c>
      <c r="F186" s="4">
        <v>2429</v>
      </c>
      <c r="G186" s="4">
        <v>5850</v>
      </c>
      <c r="H186" s="4" t="s">
        <v>280</v>
      </c>
      <c r="I186" s="4">
        <v>6655971007</v>
      </c>
      <c r="J186" s="4" t="s">
        <v>281</v>
      </c>
      <c r="K186" s="4" t="s">
        <v>282</v>
      </c>
      <c r="L186" s="4">
        <v>-12.34</v>
      </c>
      <c r="M186" s="4">
        <v>-12.34</v>
      </c>
      <c r="N186" s="4"/>
      <c r="O186" s="5">
        <v>44025</v>
      </c>
      <c r="P186" s="4" t="s">
        <v>283</v>
      </c>
    </row>
    <row r="187" spans="1:16">
      <c r="A187" s="4" t="s">
        <v>45</v>
      </c>
      <c r="B187" s="5">
        <v>43234</v>
      </c>
      <c r="C187" s="4" t="str">
        <f>"004810839308"</f>
        <v>004810839308</v>
      </c>
      <c r="D187" s="4">
        <v>104362422</v>
      </c>
      <c r="E187" s="5">
        <v>43250</v>
      </c>
      <c r="F187" s="4">
        <v>2396</v>
      </c>
      <c r="G187" s="4">
        <v>5850</v>
      </c>
      <c r="H187" s="4" t="s">
        <v>280</v>
      </c>
      <c r="I187" s="4">
        <v>6655971007</v>
      </c>
      <c r="J187" s="4" t="s">
        <v>281</v>
      </c>
      <c r="K187" s="4" t="s">
        <v>282</v>
      </c>
      <c r="L187" s="4">
        <v>-20.32</v>
      </c>
      <c r="M187" s="4">
        <v>-20.32</v>
      </c>
      <c r="N187" s="4"/>
      <c r="O187" s="5">
        <v>44025</v>
      </c>
      <c r="P187" s="4" t="s">
        <v>283</v>
      </c>
    </row>
    <row r="188" spans="1:16">
      <c r="A188" s="4" t="s">
        <v>45</v>
      </c>
      <c r="B188" s="5">
        <v>43234</v>
      </c>
      <c r="C188" s="4" t="str">
        <f>"004810839309"</f>
        <v>004810839309</v>
      </c>
      <c r="D188" s="4">
        <v>104341425</v>
      </c>
      <c r="E188" s="5">
        <v>43250</v>
      </c>
      <c r="F188" s="4">
        <v>2439</v>
      </c>
      <c r="G188" s="4">
        <v>5850</v>
      </c>
      <c r="H188" s="4" t="s">
        <v>280</v>
      </c>
      <c r="I188" s="4">
        <v>6655971007</v>
      </c>
      <c r="J188" s="4" t="s">
        <v>281</v>
      </c>
      <c r="K188" s="4" t="s">
        <v>282</v>
      </c>
      <c r="L188" s="4">
        <v>-7.58</v>
      </c>
      <c r="M188" s="4">
        <v>-7.58</v>
      </c>
      <c r="N188" s="4"/>
      <c r="O188" s="5">
        <v>44025</v>
      </c>
      <c r="P188" s="4" t="s">
        <v>283</v>
      </c>
    </row>
    <row r="189" spans="1:16">
      <c r="A189" s="4" t="s">
        <v>45</v>
      </c>
      <c r="B189" s="5">
        <v>43234</v>
      </c>
      <c r="C189" s="4" t="str">
        <f>"004810839310"</f>
        <v>004810839310</v>
      </c>
      <c r="D189" s="4">
        <v>104335118</v>
      </c>
      <c r="E189" s="5">
        <v>43250</v>
      </c>
      <c r="F189" s="4">
        <v>2431</v>
      </c>
      <c r="G189" s="4">
        <v>5850</v>
      </c>
      <c r="H189" s="4" t="s">
        <v>280</v>
      </c>
      <c r="I189" s="4">
        <v>6655971007</v>
      </c>
      <c r="J189" s="4" t="s">
        <v>281</v>
      </c>
      <c r="K189" s="4" t="s">
        <v>282</v>
      </c>
      <c r="L189" s="4">
        <v>-14.36</v>
      </c>
      <c r="M189" s="4">
        <v>-14.36</v>
      </c>
      <c r="N189" s="4"/>
      <c r="O189" s="5">
        <v>44025</v>
      </c>
      <c r="P189" s="4" t="s">
        <v>283</v>
      </c>
    </row>
    <row r="190" spans="1:16">
      <c r="A190" s="4" t="s">
        <v>45</v>
      </c>
      <c r="B190" s="5">
        <v>43234</v>
      </c>
      <c r="C190" s="4" t="str">
        <f>"004810839311"</f>
        <v>004810839311</v>
      </c>
      <c r="D190" s="4">
        <v>104336628</v>
      </c>
      <c r="E190" s="5">
        <v>43250</v>
      </c>
      <c r="F190" s="4">
        <v>2458</v>
      </c>
      <c r="G190" s="4">
        <v>5850</v>
      </c>
      <c r="H190" s="4" t="s">
        <v>280</v>
      </c>
      <c r="I190" s="4">
        <v>6655971007</v>
      </c>
      <c r="J190" s="4" t="s">
        <v>281</v>
      </c>
      <c r="K190" s="4" t="s">
        <v>282</v>
      </c>
      <c r="L190" s="4">
        <v>-14.74</v>
      </c>
      <c r="M190" s="4">
        <v>-14.74</v>
      </c>
      <c r="N190" s="4"/>
      <c r="O190" s="5">
        <v>44025</v>
      </c>
      <c r="P190" s="4" t="s">
        <v>283</v>
      </c>
    </row>
    <row r="191" spans="1:16">
      <c r="A191" s="4" t="s">
        <v>45</v>
      </c>
      <c r="B191" s="5">
        <v>43234</v>
      </c>
      <c r="C191" s="4" t="str">
        <f>"004810839312"</f>
        <v>004810839312</v>
      </c>
      <c r="D191" s="4">
        <v>104332024</v>
      </c>
      <c r="E191" s="5">
        <v>43250</v>
      </c>
      <c r="F191" s="4">
        <v>2453</v>
      </c>
      <c r="G191" s="4">
        <v>5850</v>
      </c>
      <c r="H191" s="4" t="s">
        <v>280</v>
      </c>
      <c r="I191" s="4">
        <v>6655971007</v>
      </c>
      <c r="J191" s="4" t="s">
        <v>281</v>
      </c>
      <c r="K191" s="4" t="s">
        <v>282</v>
      </c>
      <c r="L191" s="4">
        <v>-14.87</v>
      </c>
      <c r="M191" s="4">
        <v>-14.87</v>
      </c>
      <c r="N191" s="4"/>
      <c r="O191" s="5">
        <v>44025</v>
      </c>
      <c r="P191" s="4" t="s">
        <v>283</v>
      </c>
    </row>
    <row r="192" spans="1:16">
      <c r="A192" s="4" t="s">
        <v>45</v>
      </c>
      <c r="B192" s="5">
        <v>43234</v>
      </c>
      <c r="C192" s="4" t="str">
        <f>"004810839313"</f>
        <v>004810839313</v>
      </c>
      <c r="D192" s="4">
        <v>104347361</v>
      </c>
      <c r="E192" s="5">
        <v>43250</v>
      </c>
      <c r="F192" s="4">
        <v>2401</v>
      </c>
      <c r="G192" s="4">
        <v>5850</v>
      </c>
      <c r="H192" s="4" t="s">
        <v>280</v>
      </c>
      <c r="I192" s="4">
        <v>6655971007</v>
      </c>
      <c r="J192" s="4" t="s">
        <v>281</v>
      </c>
      <c r="K192" s="4" t="s">
        <v>282</v>
      </c>
      <c r="L192" s="4">
        <v>-15.19</v>
      </c>
      <c r="M192" s="4">
        <v>-15.19</v>
      </c>
      <c r="N192" s="4"/>
      <c r="O192" s="5">
        <v>44025</v>
      </c>
      <c r="P192" s="4" t="s">
        <v>283</v>
      </c>
    </row>
    <row r="193" spans="1:16">
      <c r="A193" s="4" t="s">
        <v>45</v>
      </c>
      <c r="B193" s="5">
        <v>43234</v>
      </c>
      <c r="C193" s="4" t="str">
        <f>"004810839314"</f>
        <v>004810839314</v>
      </c>
      <c r="D193" s="4">
        <v>104322761</v>
      </c>
      <c r="E193" s="5">
        <v>43250</v>
      </c>
      <c r="F193" s="4">
        <v>2459</v>
      </c>
      <c r="G193" s="4">
        <v>5850</v>
      </c>
      <c r="H193" s="4" t="s">
        <v>280</v>
      </c>
      <c r="I193" s="4">
        <v>6655971007</v>
      </c>
      <c r="J193" s="4" t="s">
        <v>281</v>
      </c>
      <c r="K193" s="4" t="s">
        <v>282</v>
      </c>
      <c r="L193" s="4">
        <v>-6.38</v>
      </c>
      <c r="M193" s="4">
        <v>-6.38</v>
      </c>
      <c r="N193" s="4"/>
      <c r="O193" s="5">
        <v>44025</v>
      </c>
      <c r="P193" s="4" t="s">
        <v>283</v>
      </c>
    </row>
    <row r="194" spans="1:16">
      <c r="A194" s="4" t="s">
        <v>45</v>
      </c>
      <c r="B194" s="5">
        <v>43234</v>
      </c>
      <c r="C194" s="4" t="str">
        <f>"004810839315"</f>
        <v>004810839315</v>
      </c>
      <c r="D194" s="4">
        <v>104332402</v>
      </c>
      <c r="E194" s="5">
        <v>43250</v>
      </c>
      <c r="F194" s="4">
        <v>2428</v>
      </c>
      <c r="G194" s="4">
        <v>5850</v>
      </c>
      <c r="H194" s="4" t="s">
        <v>280</v>
      </c>
      <c r="I194" s="4">
        <v>6655971007</v>
      </c>
      <c r="J194" s="4" t="s">
        <v>281</v>
      </c>
      <c r="K194" s="4" t="s">
        <v>282</v>
      </c>
      <c r="L194" s="4">
        <v>-18.53</v>
      </c>
      <c r="M194" s="4">
        <v>-18.53</v>
      </c>
      <c r="N194" s="4"/>
      <c r="O194" s="5">
        <v>44025</v>
      </c>
      <c r="P194" s="4" t="s">
        <v>283</v>
      </c>
    </row>
    <row r="195" spans="1:16">
      <c r="A195" s="4" t="s">
        <v>45</v>
      </c>
      <c r="B195" s="5">
        <v>43234</v>
      </c>
      <c r="C195" s="4" t="str">
        <f>"004810839316"</f>
        <v>004810839316</v>
      </c>
      <c r="D195" s="4">
        <v>104353333</v>
      </c>
      <c r="E195" s="5">
        <v>43250</v>
      </c>
      <c r="F195" s="4">
        <v>2440</v>
      </c>
      <c r="G195" s="4">
        <v>5850</v>
      </c>
      <c r="H195" s="4" t="s">
        <v>280</v>
      </c>
      <c r="I195" s="4">
        <v>6655971007</v>
      </c>
      <c r="J195" s="4" t="s">
        <v>281</v>
      </c>
      <c r="K195" s="4" t="s">
        <v>282</v>
      </c>
      <c r="L195" s="4">
        <v>-14.06</v>
      </c>
      <c r="M195" s="4">
        <v>-14.06</v>
      </c>
      <c r="N195" s="4"/>
      <c r="O195" s="5">
        <v>44025</v>
      </c>
      <c r="P195" s="4" t="s">
        <v>283</v>
      </c>
    </row>
    <row r="196" spans="1:16">
      <c r="A196" s="4" t="s">
        <v>45</v>
      </c>
      <c r="B196" s="5">
        <v>43234</v>
      </c>
      <c r="C196" s="4" t="str">
        <f>"004810839317"</f>
        <v>004810839317</v>
      </c>
      <c r="D196" s="4">
        <v>104344901</v>
      </c>
      <c r="E196" s="5">
        <v>43250</v>
      </c>
      <c r="F196" s="4">
        <v>2402</v>
      </c>
      <c r="G196" s="4">
        <v>5850</v>
      </c>
      <c r="H196" s="4" t="s">
        <v>280</v>
      </c>
      <c r="I196" s="4">
        <v>6655971007</v>
      </c>
      <c r="J196" s="4" t="s">
        <v>281</v>
      </c>
      <c r="K196" s="4" t="s">
        <v>282</v>
      </c>
      <c r="L196" s="4">
        <v>-14.32</v>
      </c>
      <c r="M196" s="4">
        <v>-14.32</v>
      </c>
      <c r="N196" s="4"/>
      <c r="O196" s="5">
        <v>44025</v>
      </c>
      <c r="P196" s="4" t="s">
        <v>283</v>
      </c>
    </row>
    <row r="197" spans="1:16">
      <c r="A197" s="4" t="s">
        <v>45</v>
      </c>
      <c r="B197" s="5">
        <v>43234</v>
      </c>
      <c r="C197" s="4" t="str">
        <f>"004810839318"</f>
        <v>004810839318</v>
      </c>
      <c r="D197" s="4">
        <v>104337077</v>
      </c>
      <c r="E197" s="5">
        <v>43250</v>
      </c>
      <c r="F197" s="4">
        <v>2450</v>
      </c>
      <c r="G197" s="4">
        <v>5850</v>
      </c>
      <c r="H197" s="4" t="s">
        <v>280</v>
      </c>
      <c r="I197" s="4">
        <v>6655971007</v>
      </c>
      <c r="J197" s="4" t="s">
        <v>281</v>
      </c>
      <c r="K197" s="4" t="s">
        <v>282</v>
      </c>
      <c r="L197" s="4">
        <v>-15.75</v>
      </c>
      <c r="M197" s="4">
        <v>-15.75</v>
      </c>
      <c r="N197" s="4"/>
      <c r="O197" s="5">
        <v>44025</v>
      </c>
      <c r="P197" s="4" t="s">
        <v>283</v>
      </c>
    </row>
    <row r="198" spans="1:16">
      <c r="A198" s="4" t="s">
        <v>45</v>
      </c>
      <c r="B198" s="5">
        <v>43234</v>
      </c>
      <c r="C198" s="4" t="str">
        <f>"004810839319"</f>
        <v>004810839319</v>
      </c>
      <c r="D198" s="4">
        <v>104365181</v>
      </c>
      <c r="E198" s="5">
        <v>43250</v>
      </c>
      <c r="F198" s="4">
        <v>2421</v>
      </c>
      <c r="G198" s="4">
        <v>5850</v>
      </c>
      <c r="H198" s="4" t="s">
        <v>280</v>
      </c>
      <c r="I198" s="4">
        <v>6655971007</v>
      </c>
      <c r="J198" s="4" t="s">
        <v>281</v>
      </c>
      <c r="K198" s="4" t="s">
        <v>282</v>
      </c>
      <c r="L198" s="4">
        <v>-21.8</v>
      </c>
      <c r="M198" s="4">
        <v>-21.8</v>
      </c>
      <c r="N198" s="4"/>
      <c r="O198" s="5">
        <v>44025</v>
      </c>
      <c r="P198" s="4" t="s">
        <v>283</v>
      </c>
    </row>
    <row r="199" spans="1:16">
      <c r="A199" s="4" t="s">
        <v>45</v>
      </c>
      <c r="B199" s="5">
        <v>43234</v>
      </c>
      <c r="C199" s="4" t="str">
        <f>"004810839320"</f>
        <v>004810839320</v>
      </c>
      <c r="D199" s="4">
        <v>104324047</v>
      </c>
      <c r="E199" s="5">
        <v>43250</v>
      </c>
      <c r="F199" s="4">
        <v>2441</v>
      </c>
      <c r="G199" s="4">
        <v>5850</v>
      </c>
      <c r="H199" s="4" t="s">
        <v>280</v>
      </c>
      <c r="I199" s="4">
        <v>6655971007</v>
      </c>
      <c r="J199" s="4" t="s">
        <v>281</v>
      </c>
      <c r="K199" s="4" t="s">
        <v>282</v>
      </c>
      <c r="L199" s="4">
        <v>-22.05</v>
      </c>
      <c r="M199" s="4">
        <v>-22.05</v>
      </c>
      <c r="N199" s="4"/>
      <c r="O199" s="5">
        <v>44025</v>
      </c>
      <c r="P199" s="4" t="s">
        <v>283</v>
      </c>
    </row>
    <row r="200" spans="1:16">
      <c r="A200" s="4" t="s">
        <v>45</v>
      </c>
      <c r="B200" s="5">
        <v>43234</v>
      </c>
      <c r="C200" s="4" t="str">
        <f>"004810839321"</f>
        <v>004810839321</v>
      </c>
      <c r="D200" s="4">
        <v>104345930</v>
      </c>
      <c r="E200" s="5">
        <v>43250</v>
      </c>
      <c r="F200" s="4">
        <v>2411</v>
      </c>
      <c r="G200" s="4">
        <v>5850</v>
      </c>
      <c r="H200" s="4" t="s">
        <v>280</v>
      </c>
      <c r="I200" s="4">
        <v>6655971007</v>
      </c>
      <c r="J200" s="4" t="s">
        <v>281</v>
      </c>
      <c r="K200" s="4" t="s">
        <v>282</v>
      </c>
      <c r="L200" s="4">
        <v>-22.38</v>
      </c>
      <c r="M200" s="4">
        <v>-22.38</v>
      </c>
      <c r="N200" s="4"/>
      <c r="O200" s="5">
        <v>44025</v>
      </c>
      <c r="P200" s="4" t="s">
        <v>283</v>
      </c>
    </row>
    <row r="201" spans="1:16">
      <c r="A201" s="4" t="s">
        <v>45</v>
      </c>
      <c r="B201" s="5">
        <v>43234</v>
      </c>
      <c r="C201" s="4" t="str">
        <f>"004810839322"</f>
        <v>004810839322</v>
      </c>
      <c r="D201" s="4">
        <v>104327542</v>
      </c>
      <c r="E201" s="5">
        <v>43250</v>
      </c>
      <c r="F201" s="4">
        <v>2414</v>
      </c>
      <c r="G201" s="4">
        <v>5850</v>
      </c>
      <c r="H201" s="4" t="s">
        <v>280</v>
      </c>
      <c r="I201" s="4">
        <v>6655971007</v>
      </c>
      <c r="J201" s="4" t="s">
        <v>281</v>
      </c>
      <c r="K201" s="4" t="s">
        <v>282</v>
      </c>
      <c r="L201" s="4">
        <v>-22.77</v>
      </c>
      <c r="M201" s="4">
        <v>-22.77</v>
      </c>
      <c r="N201" s="4"/>
      <c r="O201" s="5">
        <v>44025</v>
      </c>
      <c r="P201" s="4" t="s">
        <v>283</v>
      </c>
    </row>
    <row r="202" spans="1:16">
      <c r="A202" s="4" t="s">
        <v>45</v>
      </c>
      <c r="B202" s="5">
        <v>43234</v>
      </c>
      <c r="C202" s="4" t="str">
        <f>"004810839323"</f>
        <v>004810839323</v>
      </c>
      <c r="D202" s="4">
        <v>104353041</v>
      </c>
      <c r="E202" s="5">
        <v>43250</v>
      </c>
      <c r="F202" s="4">
        <v>2391</v>
      </c>
      <c r="G202" s="4">
        <v>5850</v>
      </c>
      <c r="H202" s="4" t="s">
        <v>280</v>
      </c>
      <c r="I202" s="4">
        <v>6655971007</v>
      </c>
      <c r="J202" s="4" t="s">
        <v>281</v>
      </c>
      <c r="K202" s="4" t="s">
        <v>282</v>
      </c>
      <c r="L202" s="4">
        <v>-23.52</v>
      </c>
      <c r="M202" s="4">
        <v>-23.52</v>
      </c>
      <c r="N202" s="4"/>
      <c r="O202" s="5">
        <v>44025</v>
      </c>
      <c r="P202" s="4" t="s">
        <v>283</v>
      </c>
    </row>
    <row r="203" spans="1:16">
      <c r="A203" s="4" t="s">
        <v>45</v>
      </c>
      <c r="B203" s="5">
        <v>43234</v>
      </c>
      <c r="C203" s="4" t="str">
        <f>"004810839324"</f>
        <v>004810839324</v>
      </c>
      <c r="D203" s="4">
        <v>104329668</v>
      </c>
      <c r="E203" s="5">
        <v>43250</v>
      </c>
      <c r="F203" s="4">
        <v>2437</v>
      </c>
      <c r="G203" s="4">
        <v>5850</v>
      </c>
      <c r="H203" s="4" t="s">
        <v>280</v>
      </c>
      <c r="I203" s="4">
        <v>6655971007</v>
      </c>
      <c r="J203" s="4" t="s">
        <v>281</v>
      </c>
      <c r="K203" s="4" t="s">
        <v>282</v>
      </c>
      <c r="L203" s="4">
        <v>-27.17</v>
      </c>
      <c r="M203" s="4">
        <v>-27.17</v>
      </c>
      <c r="N203" s="4"/>
      <c r="O203" s="5">
        <v>44025</v>
      </c>
      <c r="P203" s="4" t="s">
        <v>283</v>
      </c>
    </row>
    <row r="204" spans="1:16">
      <c r="A204" s="4" t="s">
        <v>45</v>
      </c>
      <c r="B204" s="5">
        <v>43234</v>
      </c>
      <c r="C204" s="4" t="str">
        <f>"004810839325"</f>
        <v>004810839325</v>
      </c>
      <c r="D204" s="4">
        <v>104328661</v>
      </c>
      <c r="E204" s="5">
        <v>43250</v>
      </c>
      <c r="F204" s="4">
        <v>2452</v>
      </c>
      <c r="G204" s="4">
        <v>5850</v>
      </c>
      <c r="H204" s="4" t="s">
        <v>280</v>
      </c>
      <c r="I204" s="4">
        <v>6655971007</v>
      </c>
      <c r="J204" s="4" t="s">
        <v>281</v>
      </c>
      <c r="K204" s="4" t="s">
        <v>282</v>
      </c>
      <c r="L204" s="4">
        <v>-15.35</v>
      </c>
      <c r="M204" s="4">
        <v>-15.35</v>
      </c>
      <c r="N204" s="4"/>
      <c r="O204" s="5">
        <v>44025</v>
      </c>
      <c r="P204" s="4" t="s">
        <v>283</v>
      </c>
    </row>
    <row r="205" spans="1:16">
      <c r="A205" s="4" t="s">
        <v>45</v>
      </c>
      <c r="B205" s="5">
        <v>43234</v>
      </c>
      <c r="C205" s="4" t="str">
        <f>"004810839326"</f>
        <v>004810839326</v>
      </c>
      <c r="D205" s="4">
        <v>104340543</v>
      </c>
      <c r="E205" s="5">
        <v>43250</v>
      </c>
      <c r="F205" s="4">
        <v>2410</v>
      </c>
      <c r="G205" s="4">
        <v>5850</v>
      </c>
      <c r="H205" s="4" t="s">
        <v>280</v>
      </c>
      <c r="I205" s="4">
        <v>6655971007</v>
      </c>
      <c r="J205" s="4" t="s">
        <v>281</v>
      </c>
      <c r="K205" s="4" t="s">
        <v>282</v>
      </c>
      <c r="L205" s="4">
        <v>-16.02</v>
      </c>
      <c r="M205" s="4">
        <v>-16.02</v>
      </c>
      <c r="N205" s="4"/>
      <c r="O205" s="5">
        <v>44025</v>
      </c>
      <c r="P205" s="4" t="s">
        <v>283</v>
      </c>
    </row>
    <row r="206" spans="1:16">
      <c r="A206" s="4" t="s">
        <v>45</v>
      </c>
      <c r="B206" s="5">
        <v>43234</v>
      </c>
      <c r="C206" s="4" t="str">
        <f>"004810839327"</f>
        <v>004810839327</v>
      </c>
      <c r="D206" s="4">
        <v>104356387</v>
      </c>
      <c r="E206" s="5">
        <v>43250</v>
      </c>
      <c r="F206" s="4">
        <v>2434</v>
      </c>
      <c r="G206" s="4">
        <v>5850</v>
      </c>
      <c r="H206" s="4" t="s">
        <v>280</v>
      </c>
      <c r="I206" s="4">
        <v>6655971007</v>
      </c>
      <c r="J206" s="4" t="s">
        <v>281</v>
      </c>
      <c r="K206" s="4" t="s">
        <v>282</v>
      </c>
      <c r="L206" s="4">
        <v>-20.079999999999998</v>
      </c>
      <c r="M206" s="4">
        <v>-20.079999999999998</v>
      </c>
      <c r="N206" s="4"/>
      <c r="O206" s="5">
        <v>44025</v>
      </c>
      <c r="P206" s="4" t="s">
        <v>283</v>
      </c>
    </row>
    <row r="207" spans="1:16">
      <c r="A207" s="4" t="s">
        <v>45</v>
      </c>
      <c r="B207" s="5">
        <v>43234</v>
      </c>
      <c r="C207" s="4" t="str">
        <f>"004810839328"</f>
        <v>004810839328</v>
      </c>
      <c r="D207" s="4">
        <v>104336059</v>
      </c>
      <c r="E207" s="5">
        <v>43250</v>
      </c>
      <c r="F207" s="4">
        <v>2430</v>
      </c>
      <c r="G207" s="4">
        <v>5850</v>
      </c>
      <c r="H207" s="4" t="s">
        <v>280</v>
      </c>
      <c r="I207" s="4">
        <v>6655971007</v>
      </c>
      <c r="J207" s="4" t="s">
        <v>281</v>
      </c>
      <c r="K207" s="4" t="s">
        <v>282</v>
      </c>
      <c r="L207" s="4">
        <v>-20.21</v>
      </c>
      <c r="M207" s="4">
        <v>-20.21</v>
      </c>
      <c r="N207" s="4"/>
      <c r="O207" s="5">
        <v>44025</v>
      </c>
      <c r="P207" s="4" t="s">
        <v>283</v>
      </c>
    </row>
    <row r="208" spans="1:16">
      <c r="A208" s="4" t="s">
        <v>45</v>
      </c>
      <c r="B208" s="5">
        <v>43234</v>
      </c>
      <c r="C208" s="4" t="str">
        <f>"004810839329"</f>
        <v>004810839329</v>
      </c>
      <c r="D208" s="4">
        <v>104328456</v>
      </c>
      <c r="E208" s="5">
        <v>43250</v>
      </c>
      <c r="F208" s="4">
        <v>2498</v>
      </c>
      <c r="G208" s="4">
        <v>5850</v>
      </c>
      <c r="H208" s="4" t="s">
        <v>280</v>
      </c>
      <c r="I208" s="4">
        <v>6655971007</v>
      </c>
      <c r="J208" s="4" t="s">
        <v>281</v>
      </c>
      <c r="K208" s="4" t="s">
        <v>282</v>
      </c>
      <c r="L208" s="4">
        <v>-20.67</v>
      </c>
      <c r="M208" s="4">
        <v>-20.67</v>
      </c>
      <c r="N208" s="4"/>
      <c r="O208" s="5">
        <v>44025</v>
      </c>
      <c r="P208" s="4" t="s">
        <v>283</v>
      </c>
    </row>
    <row r="209" spans="1:16">
      <c r="A209" s="4" t="s">
        <v>45</v>
      </c>
      <c r="B209" s="5">
        <v>43234</v>
      </c>
      <c r="C209" s="4" t="str">
        <f>"004810839330"</f>
        <v>004810839330</v>
      </c>
      <c r="D209" s="4">
        <v>104325129</v>
      </c>
      <c r="E209" s="5">
        <v>43250</v>
      </c>
      <c r="F209" s="4">
        <v>2415</v>
      </c>
      <c r="G209" s="4">
        <v>5850</v>
      </c>
      <c r="H209" s="4" t="s">
        <v>280</v>
      </c>
      <c r="I209" s="4">
        <v>6655971007</v>
      </c>
      <c r="J209" s="4" t="s">
        <v>281</v>
      </c>
      <c r="K209" s="4" t="s">
        <v>282</v>
      </c>
      <c r="L209" s="4">
        <v>-21.13</v>
      </c>
      <c r="M209" s="4">
        <v>-21.13</v>
      </c>
      <c r="N209" s="4"/>
      <c r="O209" s="5">
        <v>44025</v>
      </c>
      <c r="P209" s="4" t="s">
        <v>283</v>
      </c>
    </row>
    <row r="210" spans="1:16">
      <c r="A210" s="4" t="s">
        <v>45</v>
      </c>
      <c r="B210" s="5">
        <v>43234</v>
      </c>
      <c r="C210" s="4" t="str">
        <f>"004810839331"</f>
        <v>004810839331</v>
      </c>
      <c r="D210" s="4">
        <v>104333506</v>
      </c>
      <c r="E210" s="5">
        <v>43250</v>
      </c>
      <c r="F210" s="4">
        <v>2473</v>
      </c>
      <c r="G210" s="4">
        <v>5850</v>
      </c>
      <c r="H210" s="4" t="s">
        <v>280</v>
      </c>
      <c r="I210" s="4">
        <v>6655971007</v>
      </c>
      <c r="J210" s="4" t="s">
        <v>281</v>
      </c>
      <c r="K210" s="4" t="s">
        <v>282</v>
      </c>
      <c r="L210" s="4">
        <v>-18.350000000000001</v>
      </c>
      <c r="M210" s="4">
        <v>-18.350000000000001</v>
      </c>
      <c r="N210" s="4"/>
      <c r="O210" s="5">
        <v>44025</v>
      </c>
      <c r="P210" s="4" t="s">
        <v>283</v>
      </c>
    </row>
    <row r="211" spans="1:16">
      <c r="A211" s="4" t="s">
        <v>45</v>
      </c>
      <c r="B211" s="5">
        <v>43234</v>
      </c>
      <c r="C211" s="4" t="str">
        <f>"004810839332"</f>
        <v>004810839332</v>
      </c>
      <c r="D211" s="4">
        <v>104359819</v>
      </c>
      <c r="E211" s="5">
        <v>43250</v>
      </c>
      <c r="F211" s="4">
        <v>2419</v>
      </c>
      <c r="G211" s="4">
        <v>5850</v>
      </c>
      <c r="H211" s="4" t="s">
        <v>280</v>
      </c>
      <c r="I211" s="4">
        <v>6655971007</v>
      </c>
      <c r="J211" s="4" t="s">
        <v>281</v>
      </c>
      <c r="K211" s="4" t="s">
        <v>282</v>
      </c>
      <c r="L211" s="4">
        <v>-12.34</v>
      </c>
      <c r="M211" s="4">
        <v>-12.34</v>
      </c>
      <c r="N211" s="4"/>
      <c r="O211" s="5">
        <v>44025</v>
      </c>
      <c r="P211" s="4" t="s">
        <v>283</v>
      </c>
    </row>
    <row r="212" spans="1:16">
      <c r="A212" s="4" t="s">
        <v>45</v>
      </c>
      <c r="B212" s="5">
        <v>43234</v>
      </c>
      <c r="C212" s="4" t="str">
        <f>"004810839333"</f>
        <v>004810839333</v>
      </c>
      <c r="D212" s="4">
        <v>104331557</v>
      </c>
      <c r="E212" s="5">
        <v>43250</v>
      </c>
      <c r="F212" s="4">
        <v>2442</v>
      </c>
      <c r="G212" s="4">
        <v>5850</v>
      </c>
      <c r="H212" s="4" t="s">
        <v>280</v>
      </c>
      <c r="I212" s="4">
        <v>6655971007</v>
      </c>
      <c r="J212" s="4" t="s">
        <v>281</v>
      </c>
      <c r="K212" s="4" t="s">
        <v>282</v>
      </c>
      <c r="L212" s="4">
        <v>-21.08</v>
      </c>
      <c r="M212" s="4">
        <v>-21.08</v>
      </c>
      <c r="N212" s="4"/>
      <c r="O212" s="5">
        <v>44025</v>
      </c>
      <c r="P212" s="4" t="s">
        <v>283</v>
      </c>
    </row>
    <row r="213" spans="1:16">
      <c r="A213" s="4" t="s">
        <v>45</v>
      </c>
      <c r="B213" s="5">
        <v>43234</v>
      </c>
      <c r="C213" s="4" t="str">
        <f>"004810839334"</f>
        <v>004810839334</v>
      </c>
      <c r="D213" s="4">
        <v>104331511</v>
      </c>
      <c r="E213" s="5">
        <v>43250</v>
      </c>
      <c r="F213" s="4">
        <v>2469</v>
      </c>
      <c r="G213" s="4">
        <v>5850</v>
      </c>
      <c r="H213" s="4" t="s">
        <v>280</v>
      </c>
      <c r="I213" s="4">
        <v>6655971007</v>
      </c>
      <c r="J213" s="4" t="s">
        <v>281</v>
      </c>
      <c r="K213" s="4" t="s">
        <v>282</v>
      </c>
      <c r="L213" s="4">
        <v>-12</v>
      </c>
      <c r="M213" s="4">
        <v>-12</v>
      </c>
      <c r="N213" s="4"/>
      <c r="O213" s="5">
        <v>44025</v>
      </c>
      <c r="P213" s="4" t="s">
        <v>283</v>
      </c>
    </row>
    <row r="214" spans="1:16">
      <c r="A214" s="4" t="s">
        <v>45</v>
      </c>
      <c r="B214" s="5">
        <v>43234</v>
      </c>
      <c r="C214" s="4" t="str">
        <f>"004810839335"</f>
        <v>004810839335</v>
      </c>
      <c r="D214" s="4">
        <v>104358880</v>
      </c>
      <c r="E214" s="5">
        <v>43250</v>
      </c>
      <c r="F214" s="4">
        <v>2403</v>
      </c>
      <c r="G214" s="4">
        <v>5850</v>
      </c>
      <c r="H214" s="4" t="s">
        <v>280</v>
      </c>
      <c r="I214" s="4">
        <v>6655971007</v>
      </c>
      <c r="J214" s="4" t="s">
        <v>281</v>
      </c>
      <c r="K214" s="4" t="s">
        <v>282</v>
      </c>
      <c r="L214" s="4">
        <v>-13.91</v>
      </c>
      <c r="M214" s="4">
        <v>-13.91</v>
      </c>
      <c r="N214" s="4"/>
      <c r="O214" s="5">
        <v>44025</v>
      </c>
      <c r="P214" s="4" t="s">
        <v>283</v>
      </c>
    </row>
    <row r="215" spans="1:16">
      <c r="A215" s="4" t="s">
        <v>45</v>
      </c>
      <c r="B215" s="5">
        <v>43234</v>
      </c>
      <c r="C215" s="4" t="str">
        <f>"004810839336"</f>
        <v>004810839336</v>
      </c>
      <c r="D215" s="4">
        <v>104330624</v>
      </c>
      <c r="E215" s="5">
        <v>43250</v>
      </c>
      <c r="F215" s="4">
        <v>2460</v>
      </c>
      <c r="G215" s="4">
        <v>5850</v>
      </c>
      <c r="H215" s="4" t="s">
        <v>280</v>
      </c>
      <c r="I215" s="4">
        <v>6655971007</v>
      </c>
      <c r="J215" s="4" t="s">
        <v>281</v>
      </c>
      <c r="K215" s="4" t="s">
        <v>282</v>
      </c>
      <c r="L215" s="4">
        <v>-15.07</v>
      </c>
      <c r="M215" s="4">
        <v>-15.07</v>
      </c>
      <c r="N215" s="4"/>
      <c r="O215" s="5">
        <v>44025</v>
      </c>
      <c r="P215" s="4" t="s">
        <v>283</v>
      </c>
    </row>
    <row r="216" spans="1:16">
      <c r="A216" s="4" t="s">
        <v>45</v>
      </c>
      <c r="B216" s="5">
        <v>43234</v>
      </c>
      <c r="C216" s="4" t="str">
        <f>"004810839337"</f>
        <v>004810839337</v>
      </c>
      <c r="D216" s="4">
        <v>104347302</v>
      </c>
      <c r="E216" s="5">
        <v>43250</v>
      </c>
      <c r="F216" s="4">
        <v>2397</v>
      </c>
      <c r="G216" s="4">
        <v>5850</v>
      </c>
      <c r="H216" s="4" t="s">
        <v>280</v>
      </c>
      <c r="I216" s="4">
        <v>6655971007</v>
      </c>
      <c r="J216" s="4" t="s">
        <v>281</v>
      </c>
      <c r="K216" s="4" t="s">
        <v>282</v>
      </c>
      <c r="L216" s="4">
        <v>-15.65</v>
      </c>
      <c r="M216" s="4">
        <v>-15.65</v>
      </c>
      <c r="N216" s="4"/>
      <c r="O216" s="5">
        <v>44025</v>
      </c>
      <c r="P216" s="4" t="s">
        <v>283</v>
      </c>
    </row>
    <row r="217" spans="1:16">
      <c r="A217" s="4" t="s">
        <v>45</v>
      </c>
      <c r="B217" s="5">
        <v>43234</v>
      </c>
      <c r="C217" s="4" t="str">
        <f>"004810839338"</f>
        <v>004810839338</v>
      </c>
      <c r="D217" s="4">
        <v>104354810</v>
      </c>
      <c r="E217" s="5">
        <v>43250</v>
      </c>
      <c r="F217" s="4">
        <v>2422</v>
      </c>
      <c r="G217" s="4">
        <v>5850</v>
      </c>
      <c r="H217" s="4" t="s">
        <v>280</v>
      </c>
      <c r="I217" s="4">
        <v>6655971007</v>
      </c>
      <c r="J217" s="4" t="s">
        <v>281</v>
      </c>
      <c r="K217" s="4" t="s">
        <v>282</v>
      </c>
      <c r="L217" s="4">
        <v>-19.760000000000002</v>
      </c>
      <c r="M217" s="4">
        <v>-19.760000000000002</v>
      </c>
      <c r="N217" s="4"/>
      <c r="O217" s="5">
        <v>44025</v>
      </c>
      <c r="P217" s="4" t="s">
        <v>283</v>
      </c>
    </row>
    <row r="218" spans="1:16">
      <c r="A218" s="4" t="s">
        <v>45</v>
      </c>
      <c r="B218" s="5">
        <v>43234</v>
      </c>
      <c r="C218" s="4" t="str">
        <f>"004810839339"</f>
        <v>004810839339</v>
      </c>
      <c r="D218" s="4">
        <v>104359850</v>
      </c>
      <c r="E218" s="5">
        <v>43250</v>
      </c>
      <c r="F218" s="4">
        <v>2412</v>
      </c>
      <c r="G218" s="4">
        <v>5850</v>
      </c>
      <c r="H218" s="4" t="s">
        <v>280</v>
      </c>
      <c r="I218" s="4">
        <v>6655971007</v>
      </c>
      <c r="J218" s="4" t="s">
        <v>281</v>
      </c>
      <c r="K218" s="4" t="s">
        <v>282</v>
      </c>
      <c r="L218" s="4">
        <v>-21.49</v>
      </c>
      <c r="M218" s="4">
        <v>-21.49</v>
      </c>
      <c r="N218" s="4"/>
      <c r="O218" s="5">
        <v>44025</v>
      </c>
      <c r="P218" s="4" t="s">
        <v>283</v>
      </c>
    </row>
    <row r="219" spans="1:16">
      <c r="A219" s="4" t="s">
        <v>45</v>
      </c>
      <c r="B219" s="5">
        <v>43234</v>
      </c>
      <c r="C219" s="4" t="str">
        <f>"004810839340"</f>
        <v>004810839340</v>
      </c>
      <c r="D219" s="4">
        <v>104329254</v>
      </c>
      <c r="E219" s="5">
        <v>43250</v>
      </c>
      <c r="F219" s="4">
        <v>2465</v>
      </c>
      <c r="G219" s="4">
        <v>5850</v>
      </c>
      <c r="H219" s="4" t="s">
        <v>280</v>
      </c>
      <c r="I219" s="4">
        <v>6655971007</v>
      </c>
      <c r="J219" s="4" t="s">
        <v>281</v>
      </c>
      <c r="K219" s="4" t="s">
        <v>282</v>
      </c>
      <c r="L219" s="4">
        <v>-28.36</v>
      </c>
      <c r="M219" s="4">
        <v>-28.36</v>
      </c>
      <c r="N219" s="4"/>
      <c r="O219" s="5">
        <v>44025</v>
      </c>
      <c r="P219" s="4" t="s">
        <v>283</v>
      </c>
    </row>
    <row r="220" spans="1:16">
      <c r="A220" s="4" t="s">
        <v>45</v>
      </c>
      <c r="B220" s="5">
        <v>43234</v>
      </c>
      <c r="C220" s="4" t="str">
        <f>"004810839341"</f>
        <v>004810839341</v>
      </c>
      <c r="D220" s="4">
        <v>104358436</v>
      </c>
      <c r="E220" s="5">
        <v>43250</v>
      </c>
      <c r="F220" s="4">
        <v>2406</v>
      </c>
      <c r="G220" s="4">
        <v>5850</v>
      </c>
      <c r="H220" s="4" t="s">
        <v>280</v>
      </c>
      <c r="I220" s="4">
        <v>6655971007</v>
      </c>
      <c r="J220" s="4" t="s">
        <v>281</v>
      </c>
      <c r="K220" s="4" t="s">
        <v>282</v>
      </c>
      <c r="L220" s="4">
        <v>-19.98</v>
      </c>
      <c r="M220" s="4">
        <v>-19.98</v>
      </c>
      <c r="N220" s="4"/>
      <c r="O220" s="5">
        <v>44025</v>
      </c>
      <c r="P220" s="4" t="s">
        <v>283</v>
      </c>
    </row>
    <row r="221" spans="1:16">
      <c r="A221" s="4" t="s">
        <v>45</v>
      </c>
      <c r="B221" s="5">
        <v>43227</v>
      </c>
      <c r="C221" s="4" t="str">
        <f>"004810700634"</f>
        <v>004810700634</v>
      </c>
      <c r="D221" s="4">
        <v>104010425</v>
      </c>
      <c r="E221" s="5">
        <v>43250</v>
      </c>
      <c r="F221" s="4">
        <v>2489</v>
      </c>
      <c r="G221" s="4">
        <v>5850</v>
      </c>
      <c r="H221" s="4" t="s">
        <v>280</v>
      </c>
      <c r="I221" s="4">
        <v>6655971007</v>
      </c>
      <c r="J221" s="4" t="s">
        <v>281</v>
      </c>
      <c r="K221" s="4" t="s">
        <v>282</v>
      </c>
      <c r="L221" s="4">
        <v>-23.46</v>
      </c>
      <c r="M221" s="4">
        <v>-23.46</v>
      </c>
      <c r="N221" s="4"/>
      <c r="O221" s="5">
        <v>44025</v>
      </c>
      <c r="P221" s="4" t="s">
        <v>283</v>
      </c>
    </row>
    <row r="222" spans="1:16">
      <c r="A222" s="4" t="s">
        <v>45</v>
      </c>
      <c r="B222" s="5">
        <v>43227</v>
      </c>
      <c r="C222" s="4" t="str">
        <f>"004810726657"</f>
        <v>004810726657</v>
      </c>
      <c r="D222" s="4">
        <v>104008757</v>
      </c>
      <c r="E222" s="5">
        <v>43250</v>
      </c>
      <c r="F222" s="4">
        <v>2505</v>
      </c>
      <c r="G222" s="4">
        <v>5850</v>
      </c>
      <c r="H222" s="4" t="s">
        <v>280</v>
      </c>
      <c r="I222" s="4">
        <v>6655971007</v>
      </c>
      <c r="J222" s="4" t="s">
        <v>281</v>
      </c>
      <c r="K222" s="4" t="s">
        <v>282</v>
      </c>
      <c r="L222" s="4">
        <v>-30.89</v>
      </c>
      <c r="M222" s="4">
        <v>-30.89</v>
      </c>
      <c r="N222" s="4"/>
      <c r="O222" s="5">
        <v>44025</v>
      </c>
      <c r="P222" s="4" t="s">
        <v>283</v>
      </c>
    </row>
    <row r="223" spans="1:16">
      <c r="A223" s="4" t="s">
        <v>45</v>
      </c>
      <c r="B223" s="5">
        <v>43227</v>
      </c>
      <c r="C223" s="4" t="str">
        <f>"004810740166"</f>
        <v>004810740166</v>
      </c>
      <c r="D223" s="4">
        <v>104008293</v>
      </c>
      <c r="E223" s="5">
        <v>43250</v>
      </c>
      <c r="F223" s="4">
        <v>2488</v>
      </c>
      <c r="G223" s="4">
        <v>5850</v>
      </c>
      <c r="H223" s="4" t="s">
        <v>280</v>
      </c>
      <c r="I223" s="4">
        <v>6655971007</v>
      </c>
      <c r="J223" s="4" t="s">
        <v>281</v>
      </c>
      <c r="K223" s="4" t="s">
        <v>282</v>
      </c>
      <c r="L223" s="4">
        <v>-7.38</v>
      </c>
      <c r="M223" s="4">
        <v>-7.38</v>
      </c>
      <c r="N223" s="4"/>
      <c r="O223" s="5">
        <v>44025</v>
      </c>
      <c r="P223" s="4" t="s">
        <v>283</v>
      </c>
    </row>
    <row r="224" spans="1:16">
      <c r="A224" s="4" t="s">
        <v>45</v>
      </c>
      <c r="B224" s="5">
        <v>43227</v>
      </c>
      <c r="C224" s="4" t="str">
        <f>"004810740167"</f>
        <v>004810740167</v>
      </c>
      <c r="D224" s="4">
        <v>103963756</v>
      </c>
      <c r="E224" s="5">
        <v>43250</v>
      </c>
      <c r="F224" s="4">
        <v>2508</v>
      </c>
      <c r="G224" s="4">
        <v>5850</v>
      </c>
      <c r="H224" s="4" t="s">
        <v>280</v>
      </c>
      <c r="I224" s="4">
        <v>6655971007</v>
      </c>
      <c r="J224" s="4" t="s">
        <v>281</v>
      </c>
      <c r="K224" s="4" t="s">
        <v>282</v>
      </c>
      <c r="L224" s="4">
        <v>-16.7</v>
      </c>
      <c r="M224" s="4">
        <v>-16.7</v>
      </c>
      <c r="N224" s="4"/>
      <c r="O224" s="5">
        <v>44025</v>
      </c>
      <c r="P224" s="4" t="s">
        <v>283</v>
      </c>
    </row>
    <row r="225" spans="1:16">
      <c r="A225" s="4" t="s">
        <v>45</v>
      </c>
      <c r="B225" s="5">
        <v>43227</v>
      </c>
      <c r="C225" s="4" t="str">
        <f>"004810740168"</f>
        <v>004810740168</v>
      </c>
      <c r="D225" s="4">
        <v>103991832</v>
      </c>
      <c r="E225" s="5">
        <v>43250</v>
      </c>
      <c r="F225" s="4">
        <v>2479</v>
      </c>
      <c r="G225" s="4">
        <v>5850</v>
      </c>
      <c r="H225" s="4" t="s">
        <v>280</v>
      </c>
      <c r="I225" s="4">
        <v>6655971007</v>
      </c>
      <c r="J225" s="4" t="s">
        <v>281</v>
      </c>
      <c r="K225" s="4" t="s">
        <v>282</v>
      </c>
      <c r="L225" s="4">
        <v>-7.24</v>
      </c>
      <c r="M225" s="4">
        <v>-7.24</v>
      </c>
      <c r="N225" s="4"/>
      <c r="O225" s="5">
        <v>44025</v>
      </c>
      <c r="P225" s="4" t="s">
        <v>283</v>
      </c>
    </row>
    <row r="226" spans="1:16">
      <c r="A226" s="4" t="s">
        <v>45</v>
      </c>
      <c r="B226" s="5">
        <v>43227</v>
      </c>
      <c r="C226" s="4" t="str">
        <f>"004810740169"</f>
        <v>004810740169</v>
      </c>
      <c r="D226" s="4">
        <v>103986743</v>
      </c>
      <c r="E226" s="5">
        <v>43250</v>
      </c>
      <c r="F226" s="4">
        <v>2504</v>
      </c>
      <c r="G226" s="4">
        <v>5850</v>
      </c>
      <c r="H226" s="4" t="s">
        <v>280</v>
      </c>
      <c r="I226" s="4">
        <v>6655971007</v>
      </c>
      <c r="J226" s="4" t="s">
        <v>281</v>
      </c>
      <c r="K226" s="4" t="s">
        <v>282</v>
      </c>
      <c r="L226" s="4">
        <v>-15.6</v>
      </c>
      <c r="M226" s="4">
        <v>-15.6</v>
      </c>
      <c r="N226" s="4"/>
      <c r="O226" s="5">
        <v>44025</v>
      </c>
      <c r="P226" s="4" t="s">
        <v>283</v>
      </c>
    </row>
    <row r="227" spans="1:16">
      <c r="A227" s="4" t="s">
        <v>45</v>
      </c>
      <c r="B227" s="5">
        <v>43227</v>
      </c>
      <c r="C227" s="4" t="str">
        <f>"004810740170"</f>
        <v>004810740170</v>
      </c>
      <c r="D227" s="4">
        <v>103977445</v>
      </c>
      <c r="E227" s="5">
        <v>43250</v>
      </c>
      <c r="F227" s="4">
        <v>2476</v>
      </c>
      <c r="G227" s="4">
        <v>5850</v>
      </c>
      <c r="H227" s="4" t="s">
        <v>280</v>
      </c>
      <c r="I227" s="4">
        <v>6655971007</v>
      </c>
      <c r="J227" s="4" t="s">
        <v>281</v>
      </c>
      <c r="K227" s="4" t="s">
        <v>282</v>
      </c>
      <c r="L227" s="4">
        <v>-9.31</v>
      </c>
      <c r="M227" s="4">
        <v>-9.31</v>
      </c>
      <c r="N227" s="4"/>
      <c r="O227" s="5">
        <v>44025</v>
      </c>
      <c r="P227" s="4" t="s">
        <v>283</v>
      </c>
    </row>
    <row r="228" spans="1:16">
      <c r="A228" s="4" t="s">
        <v>45</v>
      </c>
      <c r="B228" s="5">
        <v>43227</v>
      </c>
      <c r="C228" s="4" t="str">
        <f>"004810740171"</f>
        <v>004810740171</v>
      </c>
      <c r="D228" s="4">
        <v>103981559</v>
      </c>
      <c r="E228" s="5">
        <v>43250</v>
      </c>
      <c r="F228" s="4">
        <v>2491</v>
      </c>
      <c r="G228" s="4">
        <v>5850</v>
      </c>
      <c r="H228" s="4" t="s">
        <v>280</v>
      </c>
      <c r="I228" s="4">
        <v>6655971007</v>
      </c>
      <c r="J228" s="4" t="s">
        <v>281</v>
      </c>
      <c r="K228" s="4" t="s">
        <v>282</v>
      </c>
      <c r="L228" s="4">
        <v>-25.84</v>
      </c>
      <c r="M228" s="4">
        <v>-25.84</v>
      </c>
      <c r="N228" s="4"/>
      <c r="O228" s="5">
        <v>44025</v>
      </c>
      <c r="P228" s="4" t="s">
        <v>283</v>
      </c>
    </row>
    <row r="229" spans="1:16">
      <c r="A229" s="4" t="s">
        <v>45</v>
      </c>
      <c r="B229" s="5">
        <v>43227</v>
      </c>
      <c r="C229" s="4" t="str">
        <f>"004810740172"</f>
        <v>004810740172</v>
      </c>
      <c r="D229" s="4">
        <v>104002924</v>
      </c>
      <c r="E229" s="5">
        <v>43250</v>
      </c>
      <c r="F229" s="4">
        <v>2518</v>
      </c>
      <c r="G229" s="4">
        <v>5850</v>
      </c>
      <c r="H229" s="4" t="s">
        <v>280</v>
      </c>
      <c r="I229" s="4">
        <v>6655971007</v>
      </c>
      <c r="J229" s="4" t="s">
        <v>281</v>
      </c>
      <c r="K229" s="4" t="s">
        <v>282</v>
      </c>
      <c r="L229" s="4">
        <v>-38.840000000000003</v>
      </c>
      <c r="M229" s="4">
        <v>-38.840000000000003</v>
      </c>
      <c r="N229" s="4"/>
      <c r="O229" s="5">
        <v>44025</v>
      </c>
      <c r="P229" s="4" t="s">
        <v>283</v>
      </c>
    </row>
    <row r="230" spans="1:16">
      <c r="A230" s="4" t="s">
        <v>45</v>
      </c>
      <c r="B230" s="5">
        <v>43227</v>
      </c>
      <c r="C230" s="4" t="str">
        <f>"004810740173"</f>
        <v>004810740173</v>
      </c>
      <c r="D230" s="4">
        <v>103998428</v>
      </c>
      <c r="E230" s="5">
        <v>43250</v>
      </c>
      <c r="F230" s="4">
        <v>2512</v>
      </c>
      <c r="G230" s="4">
        <v>5850</v>
      </c>
      <c r="H230" s="4" t="s">
        <v>280</v>
      </c>
      <c r="I230" s="4">
        <v>6655971007</v>
      </c>
      <c r="J230" s="4" t="s">
        <v>281</v>
      </c>
      <c r="K230" s="4" t="s">
        <v>282</v>
      </c>
      <c r="L230" s="4">
        <v>-12.34</v>
      </c>
      <c r="M230" s="4">
        <v>-12.34</v>
      </c>
      <c r="N230" s="4"/>
      <c r="O230" s="5">
        <v>44025</v>
      </c>
      <c r="P230" s="4" t="s">
        <v>283</v>
      </c>
    </row>
    <row r="231" spans="1:16">
      <c r="A231" s="4" t="s">
        <v>45</v>
      </c>
      <c r="B231" s="5">
        <v>43227</v>
      </c>
      <c r="C231" s="4" t="str">
        <f>"004810740174"</f>
        <v>004810740174</v>
      </c>
      <c r="D231" s="4">
        <v>103964578</v>
      </c>
      <c r="E231" s="5">
        <v>43250</v>
      </c>
      <c r="F231" s="4">
        <v>2509</v>
      </c>
      <c r="G231" s="4">
        <v>5850</v>
      </c>
      <c r="H231" s="4" t="s">
        <v>280</v>
      </c>
      <c r="I231" s="4">
        <v>6655971007</v>
      </c>
      <c r="J231" s="4" t="s">
        <v>281</v>
      </c>
      <c r="K231" s="4" t="s">
        <v>282</v>
      </c>
      <c r="L231" s="4">
        <v>-12.34</v>
      </c>
      <c r="M231" s="4">
        <v>-12.34</v>
      </c>
      <c r="N231" s="4"/>
      <c r="O231" s="5">
        <v>44025</v>
      </c>
      <c r="P231" s="4" t="s">
        <v>283</v>
      </c>
    </row>
    <row r="232" spans="1:16">
      <c r="A232" s="4" t="s">
        <v>45</v>
      </c>
      <c r="B232" s="5">
        <v>43227</v>
      </c>
      <c r="C232" s="4" t="str">
        <f>"004810740175"</f>
        <v>004810740175</v>
      </c>
      <c r="D232" s="4">
        <v>103996246</v>
      </c>
      <c r="E232" s="5">
        <v>43250</v>
      </c>
      <c r="F232" s="4">
        <v>2480</v>
      </c>
      <c r="G232" s="4">
        <v>5850</v>
      </c>
      <c r="H232" s="4" t="s">
        <v>280</v>
      </c>
      <c r="I232" s="4">
        <v>6655971007</v>
      </c>
      <c r="J232" s="4" t="s">
        <v>281</v>
      </c>
      <c r="K232" s="4" t="s">
        <v>282</v>
      </c>
      <c r="L232" s="4">
        <v>-21.58</v>
      </c>
      <c r="M232" s="4">
        <v>-21.58</v>
      </c>
      <c r="N232" s="4"/>
      <c r="O232" s="5">
        <v>44025</v>
      </c>
      <c r="P232" s="4" t="s">
        <v>283</v>
      </c>
    </row>
    <row r="233" spans="1:16">
      <c r="A233" s="4" t="s">
        <v>45</v>
      </c>
      <c r="B233" s="5">
        <v>43227</v>
      </c>
      <c r="C233" s="4" t="str">
        <f>"004810740176"</f>
        <v>004810740176</v>
      </c>
      <c r="D233" s="4">
        <v>104008723</v>
      </c>
      <c r="E233" s="5">
        <v>43250</v>
      </c>
      <c r="F233" s="4">
        <v>2487</v>
      </c>
      <c r="G233" s="4">
        <v>5850</v>
      </c>
      <c r="H233" s="4" t="s">
        <v>280</v>
      </c>
      <c r="I233" s="4">
        <v>6655971007</v>
      </c>
      <c r="J233" s="4" t="s">
        <v>281</v>
      </c>
      <c r="K233" s="4" t="s">
        <v>282</v>
      </c>
      <c r="L233" s="4">
        <v>-19.98</v>
      </c>
      <c r="M233" s="4">
        <v>-19.98</v>
      </c>
      <c r="N233" s="4"/>
      <c r="O233" s="5">
        <v>44025</v>
      </c>
      <c r="P233" s="4" t="s">
        <v>283</v>
      </c>
    </row>
    <row r="234" spans="1:16">
      <c r="A234" s="4" t="s">
        <v>45</v>
      </c>
      <c r="B234" s="5">
        <v>43227</v>
      </c>
      <c r="C234" s="4" t="str">
        <f>"004810740177"</f>
        <v>004810740177</v>
      </c>
      <c r="D234" s="4">
        <v>104006966</v>
      </c>
      <c r="E234" s="5">
        <v>43250</v>
      </c>
      <c r="F234" s="4">
        <v>2503</v>
      </c>
      <c r="G234" s="4">
        <v>5850</v>
      </c>
      <c r="H234" s="4" t="s">
        <v>280</v>
      </c>
      <c r="I234" s="4">
        <v>6655971007</v>
      </c>
      <c r="J234" s="4" t="s">
        <v>281</v>
      </c>
      <c r="K234" s="4" t="s">
        <v>284</v>
      </c>
      <c r="L234" s="4">
        <v>-40.58</v>
      </c>
      <c r="M234" s="4">
        <v>-40.58</v>
      </c>
      <c r="N234" s="4"/>
      <c r="O234" s="5">
        <v>44025</v>
      </c>
      <c r="P234" s="4" t="s">
        <v>283</v>
      </c>
    </row>
    <row r="235" spans="1:16">
      <c r="A235" s="4" t="s">
        <v>45</v>
      </c>
      <c r="B235" s="5">
        <v>43227</v>
      </c>
      <c r="C235" s="4" t="str">
        <f>"004810740178"</f>
        <v>004810740178</v>
      </c>
      <c r="D235" s="4">
        <v>103972932</v>
      </c>
      <c r="E235" s="5">
        <v>43250</v>
      </c>
      <c r="F235" s="4">
        <v>2522</v>
      </c>
      <c r="G235" s="4">
        <v>5850</v>
      </c>
      <c r="H235" s="4" t="s">
        <v>280</v>
      </c>
      <c r="I235" s="4">
        <v>6655971007</v>
      </c>
      <c r="J235" s="4" t="s">
        <v>281</v>
      </c>
      <c r="K235" s="4" t="s">
        <v>282</v>
      </c>
      <c r="L235" s="4">
        <v>-15.55</v>
      </c>
      <c r="M235" s="4">
        <v>-15.55</v>
      </c>
      <c r="N235" s="4"/>
      <c r="O235" s="5">
        <v>44025</v>
      </c>
      <c r="P235" s="4" t="s">
        <v>283</v>
      </c>
    </row>
    <row r="236" spans="1:16">
      <c r="A236" s="4" t="s">
        <v>45</v>
      </c>
      <c r="B236" s="5">
        <v>43227</v>
      </c>
      <c r="C236" s="4" t="str">
        <f>"004810740179"</f>
        <v>004810740179</v>
      </c>
      <c r="D236" s="4">
        <v>103969646</v>
      </c>
      <c r="E236" s="5">
        <v>43250</v>
      </c>
      <c r="F236" s="4">
        <v>2511</v>
      </c>
      <c r="G236" s="4">
        <v>5850</v>
      </c>
      <c r="H236" s="4" t="s">
        <v>280</v>
      </c>
      <c r="I236" s="4">
        <v>6655971007</v>
      </c>
      <c r="J236" s="4" t="s">
        <v>281</v>
      </c>
      <c r="K236" s="4" t="s">
        <v>282</v>
      </c>
      <c r="L236" s="4">
        <v>-7.28</v>
      </c>
      <c r="M236" s="4">
        <v>-7.28</v>
      </c>
      <c r="N236" s="4"/>
      <c r="O236" s="5">
        <v>44025</v>
      </c>
      <c r="P236" s="4" t="s">
        <v>283</v>
      </c>
    </row>
    <row r="237" spans="1:16">
      <c r="A237" s="4" t="s">
        <v>45</v>
      </c>
      <c r="B237" s="5">
        <v>43227</v>
      </c>
      <c r="C237" s="4" t="str">
        <f>"004810740180"</f>
        <v>004810740180</v>
      </c>
      <c r="D237" s="4">
        <v>103967951</v>
      </c>
      <c r="E237" s="5">
        <v>43250</v>
      </c>
      <c r="F237" s="4">
        <v>2530</v>
      </c>
      <c r="G237" s="4">
        <v>5850</v>
      </c>
      <c r="H237" s="4" t="s">
        <v>280</v>
      </c>
      <c r="I237" s="4">
        <v>6655971007</v>
      </c>
      <c r="J237" s="4" t="s">
        <v>281</v>
      </c>
      <c r="K237" s="4" t="s">
        <v>282</v>
      </c>
      <c r="L237" s="4">
        <v>-6.64</v>
      </c>
      <c r="M237" s="4">
        <v>-6.64</v>
      </c>
      <c r="N237" s="4"/>
      <c r="O237" s="5">
        <v>44025</v>
      </c>
      <c r="P237" s="4" t="s">
        <v>283</v>
      </c>
    </row>
    <row r="238" spans="1:16">
      <c r="A238" s="4" t="s">
        <v>45</v>
      </c>
      <c r="B238" s="5">
        <v>43227</v>
      </c>
      <c r="C238" s="4" t="str">
        <f>"004810740181"</f>
        <v>004810740181</v>
      </c>
      <c r="D238" s="4">
        <v>103989714</v>
      </c>
      <c r="E238" s="5">
        <v>43250</v>
      </c>
      <c r="F238" s="4">
        <v>2578</v>
      </c>
      <c r="G238" s="4">
        <v>5850</v>
      </c>
      <c r="H238" s="4" t="s">
        <v>280</v>
      </c>
      <c r="I238" s="4">
        <v>6655971007</v>
      </c>
      <c r="J238" s="4" t="s">
        <v>281</v>
      </c>
      <c r="K238" s="4" t="s">
        <v>282</v>
      </c>
      <c r="L238" s="4">
        <v>-13</v>
      </c>
      <c r="M238" s="4">
        <v>-13</v>
      </c>
      <c r="N238" s="4"/>
      <c r="O238" s="5">
        <v>44025</v>
      </c>
      <c r="P238" s="4" t="s">
        <v>283</v>
      </c>
    </row>
    <row r="239" spans="1:16">
      <c r="A239" s="4" t="s">
        <v>45</v>
      </c>
      <c r="B239" s="5">
        <v>43227</v>
      </c>
      <c r="C239" s="4" t="str">
        <f>"004810740182"</f>
        <v>004810740182</v>
      </c>
      <c r="D239" s="4">
        <v>104001104</v>
      </c>
      <c r="E239" s="5">
        <v>43250</v>
      </c>
      <c r="F239" s="4">
        <v>2475</v>
      </c>
      <c r="G239" s="4">
        <v>5850</v>
      </c>
      <c r="H239" s="4" t="s">
        <v>280</v>
      </c>
      <c r="I239" s="4">
        <v>6655971007</v>
      </c>
      <c r="J239" s="4" t="s">
        <v>281</v>
      </c>
      <c r="K239" s="4" t="s">
        <v>282</v>
      </c>
      <c r="L239" s="4">
        <v>-50</v>
      </c>
      <c r="M239" s="4">
        <v>-50</v>
      </c>
      <c r="N239" s="4"/>
      <c r="O239" s="5">
        <v>44025</v>
      </c>
      <c r="P239" s="4" t="s">
        <v>283</v>
      </c>
    </row>
    <row r="240" spans="1:16">
      <c r="A240" s="4" t="s">
        <v>45</v>
      </c>
      <c r="B240" s="5">
        <v>43227</v>
      </c>
      <c r="C240" s="4" t="str">
        <f>"004810740183"</f>
        <v>004810740183</v>
      </c>
      <c r="D240" s="4">
        <v>104009214</v>
      </c>
      <c r="E240" s="5">
        <v>43250</v>
      </c>
      <c r="F240" s="4">
        <v>2495</v>
      </c>
      <c r="G240" s="4">
        <v>5850</v>
      </c>
      <c r="H240" s="4" t="s">
        <v>280</v>
      </c>
      <c r="I240" s="4">
        <v>6655971007</v>
      </c>
      <c r="J240" s="4" t="s">
        <v>281</v>
      </c>
      <c r="K240" s="4" t="s">
        <v>282</v>
      </c>
      <c r="L240" s="4">
        <v>-39.549999999999997</v>
      </c>
      <c r="M240" s="4">
        <v>-39.549999999999997</v>
      </c>
      <c r="N240" s="4"/>
      <c r="O240" s="5">
        <v>44025</v>
      </c>
      <c r="P240" s="4" t="s">
        <v>283</v>
      </c>
    </row>
    <row r="241" spans="1:16">
      <c r="A241" s="4" t="s">
        <v>45</v>
      </c>
      <c r="B241" s="5">
        <v>43227</v>
      </c>
      <c r="C241" s="4" t="str">
        <f>"004810740184"</f>
        <v>004810740184</v>
      </c>
      <c r="D241" s="4">
        <v>103995219</v>
      </c>
      <c r="E241" s="5">
        <v>43250</v>
      </c>
      <c r="F241" s="4">
        <v>2481</v>
      </c>
      <c r="G241" s="4">
        <v>5850</v>
      </c>
      <c r="H241" s="4" t="s">
        <v>280</v>
      </c>
      <c r="I241" s="4">
        <v>6655971007</v>
      </c>
      <c r="J241" s="4" t="s">
        <v>281</v>
      </c>
      <c r="K241" s="4" t="s">
        <v>282</v>
      </c>
      <c r="L241" s="4">
        <v>-13.82</v>
      </c>
      <c r="M241" s="4">
        <v>-13.82</v>
      </c>
      <c r="N241" s="4"/>
      <c r="O241" s="5">
        <v>44025</v>
      </c>
      <c r="P241" s="4" t="s">
        <v>283</v>
      </c>
    </row>
    <row r="242" spans="1:16">
      <c r="A242" s="4" t="s">
        <v>45</v>
      </c>
      <c r="B242" s="5">
        <v>43227</v>
      </c>
      <c r="C242" s="4" t="str">
        <f>"004810740185"</f>
        <v>004810740185</v>
      </c>
      <c r="D242" s="4">
        <v>104000593</v>
      </c>
      <c r="E242" s="5">
        <v>43250</v>
      </c>
      <c r="F242" s="4">
        <v>2521</v>
      </c>
      <c r="G242" s="4">
        <v>5850</v>
      </c>
      <c r="H242" s="4" t="s">
        <v>280</v>
      </c>
      <c r="I242" s="4">
        <v>6655971007</v>
      </c>
      <c r="J242" s="4" t="s">
        <v>281</v>
      </c>
      <c r="K242" s="4" t="s">
        <v>282</v>
      </c>
      <c r="L242" s="4">
        <v>-13.33</v>
      </c>
      <c r="M242" s="4">
        <v>-13.33</v>
      </c>
      <c r="N242" s="4"/>
      <c r="O242" s="5">
        <v>44025</v>
      </c>
      <c r="P242" s="4" t="s">
        <v>283</v>
      </c>
    </row>
    <row r="243" spans="1:16">
      <c r="A243" s="4" t="s">
        <v>45</v>
      </c>
      <c r="B243" s="5">
        <v>43227</v>
      </c>
      <c r="C243" s="4" t="str">
        <f>"004810740186"</f>
        <v>004810740186</v>
      </c>
      <c r="D243" s="4">
        <v>103979185</v>
      </c>
      <c r="E243" s="5">
        <v>43250</v>
      </c>
      <c r="F243" s="4">
        <v>2506</v>
      </c>
      <c r="G243" s="4">
        <v>5850</v>
      </c>
      <c r="H243" s="4" t="s">
        <v>280</v>
      </c>
      <c r="I243" s="4">
        <v>6655971007</v>
      </c>
      <c r="J243" s="4" t="s">
        <v>281</v>
      </c>
      <c r="K243" s="4" t="s">
        <v>282</v>
      </c>
      <c r="L243" s="4">
        <v>-13.17</v>
      </c>
      <c r="M243" s="4">
        <v>-13.17</v>
      </c>
      <c r="N243" s="4"/>
      <c r="O243" s="5">
        <v>44025</v>
      </c>
      <c r="P243" s="4" t="s">
        <v>283</v>
      </c>
    </row>
    <row r="244" spans="1:16">
      <c r="A244" s="4" t="s">
        <v>45</v>
      </c>
      <c r="B244" s="5">
        <v>43227</v>
      </c>
      <c r="C244" s="4" t="str">
        <f>"004810740187"</f>
        <v>004810740187</v>
      </c>
      <c r="D244" s="4">
        <v>103991133</v>
      </c>
      <c r="E244" s="5">
        <v>43250</v>
      </c>
      <c r="F244" s="4">
        <v>2485</v>
      </c>
      <c r="G244" s="4">
        <v>5850</v>
      </c>
      <c r="H244" s="4" t="s">
        <v>280</v>
      </c>
      <c r="I244" s="4">
        <v>6655971007</v>
      </c>
      <c r="J244" s="4" t="s">
        <v>281</v>
      </c>
      <c r="K244" s="4" t="s">
        <v>282</v>
      </c>
      <c r="L244" s="4">
        <v>-16.309999999999999</v>
      </c>
      <c r="M244" s="4">
        <v>-16.309999999999999</v>
      </c>
      <c r="N244" s="4"/>
      <c r="O244" s="5">
        <v>44025</v>
      </c>
      <c r="P244" s="4" t="s">
        <v>283</v>
      </c>
    </row>
    <row r="245" spans="1:16">
      <c r="A245" s="4" t="s">
        <v>45</v>
      </c>
      <c r="B245" s="5">
        <v>43227</v>
      </c>
      <c r="C245" s="4" t="str">
        <f>"004810740188"</f>
        <v>004810740188</v>
      </c>
      <c r="D245" s="4">
        <v>103993781</v>
      </c>
      <c r="E245" s="5">
        <v>43250</v>
      </c>
      <c r="F245" s="4">
        <v>2482</v>
      </c>
      <c r="G245" s="4">
        <v>5850</v>
      </c>
      <c r="H245" s="4" t="s">
        <v>280</v>
      </c>
      <c r="I245" s="4">
        <v>6655971007</v>
      </c>
      <c r="J245" s="4" t="s">
        <v>281</v>
      </c>
      <c r="K245" s="4" t="s">
        <v>282</v>
      </c>
      <c r="L245" s="4">
        <v>-27.66</v>
      </c>
      <c r="M245" s="4">
        <v>-27.66</v>
      </c>
      <c r="N245" s="4"/>
      <c r="O245" s="5">
        <v>44025</v>
      </c>
      <c r="P245" s="4" t="s">
        <v>283</v>
      </c>
    </row>
    <row r="246" spans="1:16">
      <c r="A246" s="4" t="s">
        <v>45</v>
      </c>
      <c r="B246" s="5">
        <v>43227</v>
      </c>
      <c r="C246" s="4" t="str">
        <f>"004810740189"</f>
        <v>004810740189</v>
      </c>
      <c r="D246" s="4">
        <v>103983658</v>
      </c>
      <c r="E246" s="5">
        <v>43250</v>
      </c>
      <c r="F246" s="4">
        <v>2493</v>
      </c>
      <c r="G246" s="4">
        <v>5850</v>
      </c>
      <c r="H246" s="4" t="s">
        <v>280</v>
      </c>
      <c r="I246" s="4">
        <v>6655971007</v>
      </c>
      <c r="J246" s="4" t="s">
        <v>281</v>
      </c>
      <c r="K246" s="4" t="s">
        <v>282</v>
      </c>
      <c r="L246" s="4">
        <v>-7.11</v>
      </c>
      <c r="M246" s="4">
        <v>-7.11</v>
      </c>
      <c r="N246" s="4"/>
      <c r="O246" s="5">
        <v>44025</v>
      </c>
      <c r="P246" s="4" t="s">
        <v>283</v>
      </c>
    </row>
    <row r="247" spans="1:16">
      <c r="A247" s="4" t="s">
        <v>45</v>
      </c>
      <c r="B247" s="5">
        <v>43227</v>
      </c>
      <c r="C247" s="4" t="str">
        <f>"004810740190"</f>
        <v>004810740190</v>
      </c>
      <c r="D247" s="4">
        <v>104003426</v>
      </c>
      <c r="E247" s="5">
        <v>43250</v>
      </c>
      <c r="F247" s="4">
        <v>2500</v>
      </c>
      <c r="G247" s="4">
        <v>5850</v>
      </c>
      <c r="H247" s="4" t="s">
        <v>280</v>
      </c>
      <c r="I247" s="4">
        <v>6655971007</v>
      </c>
      <c r="J247" s="4" t="s">
        <v>281</v>
      </c>
      <c r="K247" s="4" t="s">
        <v>282</v>
      </c>
      <c r="L247" s="4">
        <v>-85.23</v>
      </c>
      <c r="M247" s="4">
        <v>-85.23</v>
      </c>
      <c r="N247" s="4"/>
      <c r="O247" s="5">
        <v>44025</v>
      </c>
      <c r="P247" s="4" t="s">
        <v>283</v>
      </c>
    </row>
    <row r="248" spans="1:16">
      <c r="A248" s="4" t="s">
        <v>45</v>
      </c>
      <c r="B248" s="5">
        <v>43227</v>
      </c>
      <c r="C248" s="4" t="str">
        <f>"004810740191"</f>
        <v>004810740191</v>
      </c>
      <c r="D248" s="4">
        <v>103976777</v>
      </c>
      <c r="E248" s="5">
        <v>43250</v>
      </c>
      <c r="F248" s="4">
        <v>2531</v>
      </c>
      <c r="G248" s="4">
        <v>5850</v>
      </c>
      <c r="H248" s="4" t="s">
        <v>280</v>
      </c>
      <c r="I248" s="4">
        <v>6655971007</v>
      </c>
      <c r="J248" s="4" t="s">
        <v>281</v>
      </c>
      <c r="K248" s="4" t="s">
        <v>282</v>
      </c>
      <c r="L248" s="4">
        <v>-56.02</v>
      </c>
      <c r="M248" s="4">
        <v>-56.02</v>
      </c>
      <c r="N248" s="4"/>
      <c r="O248" s="5">
        <v>44025</v>
      </c>
      <c r="P248" s="4" t="s">
        <v>283</v>
      </c>
    </row>
    <row r="249" spans="1:16">
      <c r="A249" s="4" t="s">
        <v>45</v>
      </c>
      <c r="B249" s="5">
        <v>43227</v>
      </c>
      <c r="C249" s="4" t="str">
        <f>"004810740192"</f>
        <v>004810740192</v>
      </c>
      <c r="D249" s="4">
        <v>103988883</v>
      </c>
      <c r="E249" s="5">
        <v>43250</v>
      </c>
      <c r="F249" s="4">
        <v>2502</v>
      </c>
      <c r="G249" s="4">
        <v>5850</v>
      </c>
      <c r="H249" s="4" t="s">
        <v>280</v>
      </c>
      <c r="I249" s="4">
        <v>6655971007</v>
      </c>
      <c r="J249" s="4" t="s">
        <v>281</v>
      </c>
      <c r="K249" s="4" t="s">
        <v>282</v>
      </c>
      <c r="L249" s="4">
        <v>-39.74</v>
      </c>
      <c r="M249" s="4">
        <v>-39.74</v>
      </c>
      <c r="N249" s="4"/>
      <c r="O249" s="5">
        <v>44025</v>
      </c>
      <c r="P249" s="4" t="s">
        <v>283</v>
      </c>
    </row>
    <row r="250" spans="1:16">
      <c r="A250" s="4" t="s">
        <v>45</v>
      </c>
      <c r="B250" s="5">
        <v>43227</v>
      </c>
      <c r="C250" s="4" t="str">
        <f>"004810740193"</f>
        <v>004810740193</v>
      </c>
      <c r="D250" s="4">
        <v>103955233</v>
      </c>
      <c r="E250" s="5">
        <v>43250</v>
      </c>
      <c r="F250" s="4">
        <v>2577</v>
      </c>
      <c r="G250" s="4">
        <v>5850</v>
      </c>
      <c r="H250" s="4" t="s">
        <v>280</v>
      </c>
      <c r="I250" s="4">
        <v>6655971007</v>
      </c>
      <c r="J250" s="4" t="s">
        <v>281</v>
      </c>
      <c r="K250" s="4" t="s">
        <v>282</v>
      </c>
      <c r="L250" s="4">
        <v>-18.2</v>
      </c>
      <c r="M250" s="4">
        <v>-18.2</v>
      </c>
      <c r="N250" s="4"/>
      <c r="O250" s="5">
        <v>44025</v>
      </c>
      <c r="P250" s="4" t="s">
        <v>283</v>
      </c>
    </row>
    <row r="251" spans="1:16">
      <c r="A251" s="4" t="s">
        <v>45</v>
      </c>
      <c r="B251" s="5">
        <v>43227</v>
      </c>
      <c r="C251" s="4" t="str">
        <f>"004810740194"</f>
        <v>004810740194</v>
      </c>
      <c r="D251" s="4">
        <v>103965819</v>
      </c>
      <c r="E251" s="5">
        <v>43250</v>
      </c>
      <c r="F251" s="4">
        <v>2529</v>
      </c>
      <c r="G251" s="4">
        <v>5850</v>
      </c>
      <c r="H251" s="4" t="s">
        <v>280</v>
      </c>
      <c r="I251" s="4">
        <v>6655971007</v>
      </c>
      <c r="J251" s="4" t="s">
        <v>281</v>
      </c>
      <c r="K251" s="4" t="s">
        <v>282</v>
      </c>
      <c r="L251" s="4">
        <v>-23.1</v>
      </c>
      <c r="M251" s="4">
        <v>-23.1</v>
      </c>
      <c r="N251" s="4"/>
      <c r="O251" s="5">
        <v>44025</v>
      </c>
      <c r="P251" s="4" t="s">
        <v>283</v>
      </c>
    </row>
    <row r="252" spans="1:16">
      <c r="A252" s="4" t="s">
        <v>45</v>
      </c>
      <c r="B252" s="5">
        <v>43227</v>
      </c>
      <c r="C252" s="4" t="str">
        <f>"004810740195"</f>
        <v>004810740195</v>
      </c>
      <c r="D252" s="4">
        <v>103980288</v>
      </c>
      <c r="E252" s="5">
        <v>43250</v>
      </c>
      <c r="F252" s="4">
        <v>2534</v>
      </c>
      <c r="G252" s="4">
        <v>5850</v>
      </c>
      <c r="H252" s="4" t="s">
        <v>280</v>
      </c>
      <c r="I252" s="4">
        <v>6655971007</v>
      </c>
      <c r="J252" s="4" t="s">
        <v>281</v>
      </c>
      <c r="K252" s="4" t="s">
        <v>282</v>
      </c>
      <c r="L252" s="4">
        <v>-6.58</v>
      </c>
      <c r="M252" s="4">
        <v>-6.58</v>
      </c>
      <c r="N252" s="4"/>
      <c r="O252" s="5">
        <v>44025</v>
      </c>
      <c r="P252" s="4" t="s">
        <v>283</v>
      </c>
    </row>
    <row r="253" spans="1:16">
      <c r="A253" s="4" t="s">
        <v>45</v>
      </c>
      <c r="B253" s="5">
        <v>43227</v>
      </c>
      <c r="C253" s="4" t="str">
        <f>"004810740196"</f>
        <v>004810740196</v>
      </c>
      <c r="D253" s="4">
        <v>103960225</v>
      </c>
      <c r="E253" s="5">
        <v>43250</v>
      </c>
      <c r="F253" s="4">
        <v>2536</v>
      </c>
      <c r="G253" s="4">
        <v>5850</v>
      </c>
      <c r="H253" s="4" t="s">
        <v>280</v>
      </c>
      <c r="I253" s="4">
        <v>6655971007</v>
      </c>
      <c r="J253" s="4" t="s">
        <v>281</v>
      </c>
      <c r="K253" s="4" t="s">
        <v>282</v>
      </c>
      <c r="L253" s="4">
        <v>-10.55</v>
      </c>
      <c r="M253" s="4">
        <v>-10.55</v>
      </c>
      <c r="N253" s="4"/>
      <c r="O253" s="5">
        <v>44025</v>
      </c>
      <c r="P253" s="4" t="s">
        <v>283</v>
      </c>
    </row>
    <row r="254" spans="1:16">
      <c r="A254" s="4" t="s">
        <v>45</v>
      </c>
      <c r="B254" s="5">
        <v>43227</v>
      </c>
      <c r="C254" s="4" t="str">
        <f>"004810740197"</f>
        <v>004810740197</v>
      </c>
      <c r="D254" s="4">
        <v>103962093</v>
      </c>
      <c r="E254" s="5">
        <v>43250</v>
      </c>
      <c r="F254" s="4">
        <v>2574</v>
      </c>
      <c r="G254" s="4">
        <v>5850</v>
      </c>
      <c r="H254" s="4" t="s">
        <v>280</v>
      </c>
      <c r="I254" s="4">
        <v>6655971007</v>
      </c>
      <c r="J254" s="4" t="s">
        <v>281</v>
      </c>
      <c r="K254" s="4" t="s">
        <v>282</v>
      </c>
      <c r="L254" s="4">
        <v>-13.82</v>
      </c>
      <c r="M254" s="4">
        <v>-13.82</v>
      </c>
      <c r="N254" s="4"/>
      <c r="O254" s="5">
        <v>44025</v>
      </c>
      <c r="P254" s="4" t="s">
        <v>283</v>
      </c>
    </row>
    <row r="255" spans="1:16">
      <c r="A255" s="4" t="s">
        <v>45</v>
      </c>
      <c r="B255" s="5">
        <v>43227</v>
      </c>
      <c r="C255" s="4" t="str">
        <f>"004810740198"</f>
        <v>004810740198</v>
      </c>
      <c r="D255" s="4">
        <v>103986057</v>
      </c>
      <c r="E255" s="5">
        <v>43250</v>
      </c>
      <c r="F255" s="4">
        <v>2478</v>
      </c>
      <c r="G255" s="4">
        <v>5850</v>
      </c>
      <c r="H255" s="4" t="s">
        <v>280</v>
      </c>
      <c r="I255" s="4">
        <v>6655971007</v>
      </c>
      <c r="J255" s="4" t="s">
        <v>281</v>
      </c>
      <c r="K255" s="4" t="s">
        <v>282</v>
      </c>
      <c r="L255" s="4">
        <v>-9.66</v>
      </c>
      <c r="M255" s="4">
        <v>-9.66</v>
      </c>
      <c r="N255" s="4"/>
      <c r="O255" s="5">
        <v>44025</v>
      </c>
      <c r="P255" s="4" t="s">
        <v>283</v>
      </c>
    </row>
    <row r="256" spans="1:16">
      <c r="A256" s="4" t="s">
        <v>45</v>
      </c>
      <c r="B256" s="5">
        <v>43227</v>
      </c>
      <c r="C256" s="4" t="str">
        <f>"004810740199"</f>
        <v>004810740199</v>
      </c>
      <c r="D256" s="4">
        <v>103965312</v>
      </c>
      <c r="E256" s="5">
        <v>43250</v>
      </c>
      <c r="F256" s="4">
        <v>2501</v>
      </c>
      <c r="G256" s="4">
        <v>5850</v>
      </c>
      <c r="H256" s="4" t="s">
        <v>280</v>
      </c>
      <c r="I256" s="4">
        <v>6655971007</v>
      </c>
      <c r="J256" s="4" t="s">
        <v>281</v>
      </c>
      <c r="K256" s="4" t="s">
        <v>284</v>
      </c>
      <c r="L256" s="4">
        <v>-12.34</v>
      </c>
      <c r="M256" s="4">
        <v>-12.34</v>
      </c>
      <c r="N256" s="4"/>
      <c r="O256" s="5">
        <v>44025</v>
      </c>
      <c r="P256" s="4" t="s">
        <v>283</v>
      </c>
    </row>
    <row r="257" spans="1:16">
      <c r="A257" s="4" t="s">
        <v>45</v>
      </c>
      <c r="B257" s="5">
        <v>43227</v>
      </c>
      <c r="C257" s="4" t="str">
        <f>"004810740200"</f>
        <v>004810740200</v>
      </c>
      <c r="D257" s="4">
        <v>104004780</v>
      </c>
      <c r="E257" s="5">
        <v>43250</v>
      </c>
      <c r="F257" s="4">
        <v>2492</v>
      </c>
      <c r="G257" s="4">
        <v>5850</v>
      </c>
      <c r="H257" s="4" t="s">
        <v>280</v>
      </c>
      <c r="I257" s="4">
        <v>6655971007</v>
      </c>
      <c r="J257" s="4" t="s">
        <v>281</v>
      </c>
      <c r="K257" s="4" t="s">
        <v>282</v>
      </c>
      <c r="L257" s="4">
        <v>-12.34</v>
      </c>
      <c r="M257" s="4">
        <v>-12.34</v>
      </c>
      <c r="N257" s="4"/>
      <c r="O257" s="5">
        <v>44025</v>
      </c>
      <c r="P257" s="4" t="s">
        <v>283</v>
      </c>
    </row>
    <row r="258" spans="1:16">
      <c r="A258" s="4" t="s">
        <v>45</v>
      </c>
      <c r="B258" s="5">
        <v>43227</v>
      </c>
      <c r="C258" s="4" t="str">
        <f>"004810740201"</f>
        <v>004810740201</v>
      </c>
      <c r="D258" s="4">
        <v>103958828</v>
      </c>
      <c r="E258" s="5">
        <v>43250</v>
      </c>
      <c r="F258" s="4">
        <v>2537</v>
      </c>
      <c r="G258" s="4">
        <v>5850</v>
      </c>
      <c r="H258" s="4" t="s">
        <v>280</v>
      </c>
      <c r="I258" s="4">
        <v>6655971007</v>
      </c>
      <c r="J258" s="4" t="s">
        <v>281</v>
      </c>
      <c r="K258" s="4" t="s">
        <v>282</v>
      </c>
      <c r="L258" s="4">
        <v>-12.34</v>
      </c>
      <c r="M258" s="4">
        <v>-12.34</v>
      </c>
      <c r="N258" s="4"/>
      <c r="O258" s="5">
        <v>44025</v>
      </c>
      <c r="P258" s="4" t="s">
        <v>283</v>
      </c>
    </row>
    <row r="259" spans="1:16">
      <c r="A259" s="4" t="s">
        <v>45</v>
      </c>
      <c r="B259" s="5">
        <v>43227</v>
      </c>
      <c r="C259" s="4" t="str">
        <f>"004810740202"</f>
        <v>004810740202</v>
      </c>
      <c r="D259" s="4">
        <v>103982799</v>
      </c>
      <c r="E259" s="5">
        <v>43250</v>
      </c>
      <c r="F259" s="4">
        <v>2486</v>
      </c>
      <c r="G259" s="4">
        <v>5850</v>
      </c>
      <c r="H259" s="4" t="s">
        <v>280</v>
      </c>
      <c r="I259" s="4">
        <v>6655971007</v>
      </c>
      <c r="J259" s="4" t="s">
        <v>281</v>
      </c>
      <c r="K259" s="4" t="s">
        <v>282</v>
      </c>
      <c r="L259" s="4">
        <v>-12.34</v>
      </c>
      <c r="M259" s="4">
        <v>-12.34</v>
      </c>
      <c r="N259" s="4"/>
      <c r="O259" s="5">
        <v>44025</v>
      </c>
      <c r="P259" s="4" t="s">
        <v>283</v>
      </c>
    </row>
    <row r="260" spans="1:16">
      <c r="A260" s="4" t="s">
        <v>45</v>
      </c>
      <c r="B260" s="5">
        <v>43227</v>
      </c>
      <c r="C260" s="4" t="str">
        <f>"004810740203"</f>
        <v>004810740203</v>
      </c>
      <c r="D260" s="4">
        <v>103977380</v>
      </c>
      <c r="E260" s="5">
        <v>43250</v>
      </c>
      <c r="F260" s="4">
        <v>2532</v>
      </c>
      <c r="G260" s="4">
        <v>5850</v>
      </c>
      <c r="H260" s="4" t="s">
        <v>280</v>
      </c>
      <c r="I260" s="4">
        <v>6655971007</v>
      </c>
      <c r="J260" s="4" t="s">
        <v>281</v>
      </c>
      <c r="K260" s="4" t="s">
        <v>282</v>
      </c>
      <c r="L260" s="4">
        <v>-5.0599999999999996</v>
      </c>
      <c r="M260" s="4">
        <v>-5.0599999999999996</v>
      </c>
      <c r="N260" s="4"/>
      <c r="O260" s="5">
        <v>44025</v>
      </c>
      <c r="P260" s="4" t="s">
        <v>283</v>
      </c>
    </row>
    <row r="261" spans="1:16">
      <c r="A261" s="4" t="s">
        <v>45</v>
      </c>
      <c r="B261" s="5">
        <v>43227</v>
      </c>
      <c r="C261" s="4" t="str">
        <f>"004810740204"</f>
        <v>004810740204</v>
      </c>
      <c r="D261" s="4">
        <v>103992833</v>
      </c>
      <c r="E261" s="5">
        <v>43250</v>
      </c>
      <c r="F261" s="4">
        <v>2477</v>
      </c>
      <c r="G261" s="4">
        <v>5850</v>
      </c>
      <c r="H261" s="4" t="s">
        <v>280</v>
      </c>
      <c r="I261" s="4">
        <v>6655971007</v>
      </c>
      <c r="J261" s="4" t="s">
        <v>281</v>
      </c>
      <c r="K261" s="4" t="s">
        <v>282</v>
      </c>
      <c r="L261" s="4">
        <v>-17.48</v>
      </c>
      <c r="M261" s="4">
        <v>-17.48</v>
      </c>
      <c r="N261" s="4"/>
      <c r="O261" s="5">
        <v>44025</v>
      </c>
      <c r="P261" s="4" t="s">
        <v>283</v>
      </c>
    </row>
    <row r="262" spans="1:16">
      <c r="A262" s="4" t="s">
        <v>45</v>
      </c>
      <c r="B262" s="5">
        <v>43227</v>
      </c>
      <c r="C262" s="4" t="str">
        <f>"004810740205"</f>
        <v>004810740205</v>
      </c>
      <c r="D262" s="4">
        <v>103996930</v>
      </c>
      <c r="E262" s="5">
        <v>43250</v>
      </c>
      <c r="F262" s="4">
        <v>2515</v>
      </c>
      <c r="G262" s="4">
        <v>5850</v>
      </c>
      <c r="H262" s="4" t="s">
        <v>280</v>
      </c>
      <c r="I262" s="4">
        <v>6655971007</v>
      </c>
      <c r="J262" s="4" t="s">
        <v>281</v>
      </c>
      <c r="K262" s="4" t="s">
        <v>282</v>
      </c>
      <c r="L262" s="4">
        <v>-6.01</v>
      </c>
      <c r="M262" s="4">
        <v>-6.01</v>
      </c>
      <c r="N262" s="4"/>
      <c r="O262" s="5">
        <v>44025</v>
      </c>
      <c r="P262" s="4" t="s">
        <v>283</v>
      </c>
    </row>
    <row r="263" spans="1:16">
      <c r="A263" s="4" t="s">
        <v>45</v>
      </c>
      <c r="B263" s="5">
        <v>43227</v>
      </c>
      <c r="C263" s="4" t="str">
        <f>"004810740206"</f>
        <v>004810740206</v>
      </c>
      <c r="D263" s="4">
        <v>103978281</v>
      </c>
      <c r="E263" s="5">
        <v>43250</v>
      </c>
      <c r="F263" s="4">
        <v>2519</v>
      </c>
      <c r="G263" s="4">
        <v>5850</v>
      </c>
      <c r="H263" s="4" t="s">
        <v>280</v>
      </c>
      <c r="I263" s="4">
        <v>6655971007</v>
      </c>
      <c r="J263" s="4" t="s">
        <v>281</v>
      </c>
      <c r="K263" s="4" t="s">
        <v>282</v>
      </c>
      <c r="L263" s="4">
        <v>-15.8</v>
      </c>
      <c r="M263" s="4">
        <v>-15.8</v>
      </c>
      <c r="N263" s="4"/>
      <c r="O263" s="5">
        <v>44025</v>
      </c>
      <c r="P263" s="4" t="s">
        <v>283</v>
      </c>
    </row>
    <row r="264" spans="1:16">
      <c r="A264" s="4" t="s">
        <v>45</v>
      </c>
      <c r="B264" s="5">
        <v>43227</v>
      </c>
      <c r="C264" s="4" t="str">
        <f>"004810740207"</f>
        <v>004810740207</v>
      </c>
      <c r="D264" s="4">
        <v>103956174</v>
      </c>
      <c r="E264" s="5">
        <v>43250</v>
      </c>
      <c r="F264" s="4">
        <v>2535</v>
      </c>
      <c r="G264" s="4">
        <v>5850</v>
      </c>
      <c r="H264" s="4" t="s">
        <v>280</v>
      </c>
      <c r="I264" s="4">
        <v>6655971007</v>
      </c>
      <c r="J264" s="4" t="s">
        <v>281</v>
      </c>
      <c r="K264" s="4" t="s">
        <v>282</v>
      </c>
      <c r="L264" s="4">
        <v>-11.83</v>
      </c>
      <c r="M264" s="4">
        <v>-11.83</v>
      </c>
      <c r="N264" s="4"/>
      <c r="O264" s="5">
        <v>44025</v>
      </c>
      <c r="P264" s="4" t="s">
        <v>283</v>
      </c>
    </row>
    <row r="265" spans="1:16">
      <c r="A265" s="4" t="s">
        <v>45</v>
      </c>
      <c r="B265" s="5">
        <v>43227</v>
      </c>
      <c r="C265" s="4" t="str">
        <f>"004810740208"</f>
        <v>004810740208</v>
      </c>
      <c r="D265" s="4">
        <v>103993331</v>
      </c>
      <c r="E265" s="5">
        <v>43250</v>
      </c>
      <c r="F265" s="4">
        <v>2513</v>
      </c>
      <c r="G265" s="4">
        <v>5850</v>
      </c>
      <c r="H265" s="4" t="s">
        <v>280</v>
      </c>
      <c r="I265" s="4">
        <v>6655971007</v>
      </c>
      <c r="J265" s="4" t="s">
        <v>281</v>
      </c>
      <c r="K265" s="4" t="s">
        <v>282</v>
      </c>
      <c r="L265" s="4">
        <v>-53.94</v>
      </c>
      <c r="M265" s="4">
        <v>-53.94</v>
      </c>
      <c r="N265" s="4"/>
      <c r="O265" s="5">
        <v>44025</v>
      </c>
      <c r="P265" s="4" t="s">
        <v>283</v>
      </c>
    </row>
    <row r="266" spans="1:16">
      <c r="A266" s="4" t="s">
        <v>45</v>
      </c>
      <c r="B266" s="5">
        <v>43227</v>
      </c>
      <c r="C266" s="4" t="str">
        <f>"004810740209"</f>
        <v>004810740209</v>
      </c>
      <c r="D266" s="4">
        <v>103960237</v>
      </c>
      <c r="E266" s="5">
        <v>43250</v>
      </c>
      <c r="F266" s="4">
        <v>2576</v>
      </c>
      <c r="G266" s="4">
        <v>5850</v>
      </c>
      <c r="H266" s="4" t="s">
        <v>280</v>
      </c>
      <c r="I266" s="4">
        <v>6655971007</v>
      </c>
      <c r="J266" s="4" t="s">
        <v>281</v>
      </c>
      <c r="K266" s="4" t="s">
        <v>282</v>
      </c>
      <c r="L266" s="4">
        <v>-74.44</v>
      </c>
      <c r="M266" s="4">
        <v>-74.44</v>
      </c>
      <c r="N266" s="4"/>
      <c r="O266" s="5">
        <v>44025</v>
      </c>
      <c r="P266" s="4" t="s">
        <v>283</v>
      </c>
    </row>
    <row r="267" spans="1:16">
      <c r="A267" s="4" t="s">
        <v>45</v>
      </c>
      <c r="B267" s="5">
        <v>43227</v>
      </c>
      <c r="C267" s="4" t="str">
        <f>"004810740210"</f>
        <v>004810740210</v>
      </c>
      <c r="D267" s="4">
        <v>104002926</v>
      </c>
      <c r="E267" s="5">
        <v>43250</v>
      </c>
      <c r="F267" s="4">
        <v>2490</v>
      </c>
      <c r="G267" s="4">
        <v>5850</v>
      </c>
      <c r="H267" s="4" t="s">
        <v>280</v>
      </c>
      <c r="I267" s="4">
        <v>6655971007</v>
      </c>
      <c r="J267" s="4" t="s">
        <v>281</v>
      </c>
      <c r="K267" s="4" t="s">
        <v>282</v>
      </c>
      <c r="L267" s="4">
        <v>-40.630000000000003</v>
      </c>
      <c r="M267" s="4">
        <v>-40.630000000000003</v>
      </c>
      <c r="N267" s="4"/>
      <c r="O267" s="5">
        <v>44025</v>
      </c>
      <c r="P267" s="4" t="s">
        <v>283</v>
      </c>
    </row>
    <row r="268" spans="1:16">
      <c r="A268" s="4" t="s">
        <v>45</v>
      </c>
      <c r="B268" s="5">
        <v>43227</v>
      </c>
      <c r="C268" s="4" t="str">
        <f>"004810740211"</f>
        <v>004810740211</v>
      </c>
      <c r="D268" s="4">
        <v>103983895</v>
      </c>
      <c r="E268" s="5">
        <v>43250</v>
      </c>
      <c r="F268" s="4">
        <v>2499</v>
      </c>
      <c r="G268" s="4">
        <v>5850</v>
      </c>
      <c r="H268" s="4" t="s">
        <v>280</v>
      </c>
      <c r="I268" s="4">
        <v>6655971007</v>
      </c>
      <c r="J268" s="4" t="s">
        <v>281</v>
      </c>
      <c r="K268" s="4" t="s">
        <v>282</v>
      </c>
      <c r="L268" s="4">
        <v>-12.34</v>
      </c>
      <c r="M268" s="4">
        <v>-12.34</v>
      </c>
      <c r="N268" s="4"/>
      <c r="O268" s="5">
        <v>44025</v>
      </c>
      <c r="P268" s="4" t="s">
        <v>283</v>
      </c>
    </row>
    <row r="269" spans="1:16">
      <c r="A269" s="4" t="s">
        <v>45</v>
      </c>
      <c r="B269" s="5">
        <v>43227</v>
      </c>
      <c r="C269" s="4" t="str">
        <f>"004810740212"</f>
        <v>004810740212</v>
      </c>
      <c r="D269" s="4">
        <v>103986679</v>
      </c>
      <c r="E269" s="5">
        <v>43250</v>
      </c>
      <c r="F269" s="4">
        <v>2507</v>
      </c>
      <c r="G269" s="4">
        <v>5850</v>
      </c>
      <c r="H269" s="4" t="s">
        <v>280</v>
      </c>
      <c r="I269" s="4">
        <v>6655971007</v>
      </c>
      <c r="J269" s="4" t="s">
        <v>281</v>
      </c>
      <c r="K269" s="4" t="s">
        <v>284</v>
      </c>
      <c r="L269" s="4">
        <v>-18.29</v>
      </c>
      <c r="M269" s="4">
        <v>-18.29</v>
      </c>
      <c r="N269" s="4"/>
      <c r="O269" s="5">
        <v>44025</v>
      </c>
      <c r="P269" s="4" t="s">
        <v>283</v>
      </c>
    </row>
    <row r="270" spans="1:16">
      <c r="A270" s="4" t="s">
        <v>45</v>
      </c>
      <c r="B270" s="5">
        <v>43227</v>
      </c>
      <c r="C270" s="4" t="str">
        <f>"004810740213"</f>
        <v>004810740213</v>
      </c>
      <c r="D270" s="4">
        <v>103953720</v>
      </c>
      <c r="E270" s="5">
        <v>43250</v>
      </c>
      <c r="F270" s="4">
        <v>2542</v>
      </c>
      <c r="G270" s="4">
        <v>5850</v>
      </c>
      <c r="H270" s="4" t="s">
        <v>280</v>
      </c>
      <c r="I270" s="4">
        <v>6655971007</v>
      </c>
      <c r="J270" s="4" t="s">
        <v>281</v>
      </c>
      <c r="K270" s="4" t="s">
        <v>282</v>
      </c>
      <c r="L270" s="4">
        <v>-32.450000000000003</v>
      </c>
      <c r="M270" s="4">
        <v>-32.450000000000003</v>
      </c>
      <c r="N270" s="4"/>
      <c r="O270" s="5">
        <v>44025</v>
      </c>
      <c r="P270" s="4" t="s">
        <v>283</v>
      </c>
    </row>
    <row r="271" spans="1:16">
      <c r="A271" s="4" t="s">
        <v>45</v>
      </c>
      <c r="B271" s="5">
        <v>43227</v>
      </c>
      <c r="C271" s="4" t="str">
        <f>"004810740214"</f>
        <v>004810740214</v>
      </c>
      <c r="D271" s="4">
        <v>104002134</v>
      </c>
      <c r="E271" s="5">
        <v>43250</v>
      </c>
      <c r="F271" s="4">
        <v>2494</v>
      </c>
      <c r="G271" s="4">
        <v>5850</v>
      </c>
      <c r="H271" s="4" t="s">
        <v>280</v>
      </c>
      <c r="I271" s="4">
        <v>6655971007</v>
      </c>
      <c r="J271" s="4" t="s">
        <v>281</v>
      </c>
      <c r="K271" s="4" t="s">
        <v>282</v>
      </c>
      <c r="L271" s="4">
        <v>-8.75</v>
      </c>
      <c r="M271" s="4">
        <v>-8.75</v>
      </c>
      <c r="N271" s="4"/>
      <c r="O271" s="5">
        <v>44025</v>
      </c>
      <c r="P271" s="4" t="s">
        <v>283</v>
      </c>
    </row>
    <row r="272" spans="1:16">
      <c r="A272" s="4" t="s">
        <v>45</v>
      </c>
      <c r="B272" s="5">
        <v>43227</v>
      </c>
      <c r="C272" s="4" t="str">
        <f>"004810740215"</f>
        <v>004810740215</v>
      </c>
      <c r="D272" s="4">
        <v>103965635</v>
      </c>
      <c r="E272" s="5">
        <v>43250</v>
      </c>
      <c r="F272" s="4">
        <v>2526</v>
      </c>
      <c r="G272" s="4">
        <v>5850</v>
      </c>
      <c r="H272" s="4" t="s">
        <v>280</v>
      </c>
      <c r="I272" s="4">
        <v>6655971007</v>
      </c>
      <c r="J272" s="4" t="s">
        <v>281</v>
      </c>
      <c r="K272" s="4" t="s">
        <v>282</v>
      </c>
      <c r="L272" s="4">
        <v>-10.59</v>
      </c>
      <c r="M272" s="4">
        <v>-10.59</v>
      </c>
      <c r="N272" s="4"/>
      <c r="O272" s="5">
        <v>44025</v>
      </c>
      <c r="P272" s="4" t="s">
        <v>283</v>
      </c>
    </row>
    <row r="273" spans="1:16">
      <c r="A273" s="4" t="s">
        <v>45</v>
      </c>
      <c r="B273" s="5">
        <v>43227</v>
      </c>
      <c r="C273" s="4" t="str">
        <f>"004810740216"</f>
        <v>004810740216</v>
      </c>
      <c r="D273" s="4">
        <v>103955161</v>
      </c>
      <c r="E273" s="5">
        <v>43250</v>
      </c>
      <c r="F273" s="4">
        <v>2556</v>
      </c>
      <c r="G273" s="4">
        <v>5850</v>
      </c>
      <c r="H273" s="4" t="s">
        <v>280</v>
      </c>
      <c r="I273" s="4">
        <v>6655971007</v>
      </c>
      <c r="J273" s="4" t="s">
        <v>281</v>
      </c>
      <c r="K273" s="4" t="s">
        <v>282</v>
      </c>
      <c r="L273" s="4">
        <v>-7.25</v>
      </c>
      <c r="M273" s="4">
        <v>-7.25</v>
      </c>
      <c r="N273" s="4"/>
      <c r="O273" s="5">
        <v>44025</v>
      </c>
      <c r="P273" s="4" t="s">
        <v>283</v>
      </c>
    </row>
    <row r="274" spans="1:16">
      <c r="A274" s="4" t="s">
        <v>45</v>
      </c>
      <c r="B274" s="5">
        <v>43227</v>
      </c>
      <c r="C274" s="4" t="str">
        <f>"004810740217"</f>
        <v>004810740217</v>
      </c>
      <c r="D274" s="4">
        <v>103988956</v>
      </c>
      <c r="E274" s="5">
        <v>43250</v>
      </c>
      <c r="F274" s="4">
        <v>2484</v>
      </c>
      <c r="G274" s="4">
        <v>5850</v>
      </c>
      <c r="H274" s="4" t="s">
        <v>280</v>
      </c>
      <c r="I274" s="4">
        <v>6655971007</v>
      </c>
      <c r="J274" s="4" t="s">
        <v>281</v>
      </c>
      <c r="K274" s="4" t="s">
        <v>282</v>
      </c>
      <c r="L274" s="4">
        <v>-12.88</v>
      </c>
      <c r="M274" s="4">
        <v>-12.88</v>
      </c>
      <c r="N274" s="4"/>
      <c r="O274" s="5">
        <v>44025</v>
      </c>
      <c r="P274" s="4" t="s">
        <v>283</v>
      </c>
    </row>
    <row r="275" spans="1:16">
      <c r="A275" s="4" t="s">
        <v>45</v>
      </c>
      <c r="B275" s="5">
        <v>43227</v>
      </c>
      <c r="C275" s="4" t="str">
        <f>"004810740218"</f>
        <v>004810740218</v>
      </c>
      <c r="D275" s="4">
        <v>104010256</v>
      </c>
      <c r="E275" s="5">
        <v>43250</v>
      </c>
      <c r="F275" s="4">
        <v>2524</v>
      </c>
      <c r="G275" s="4">
        <v>5850</v>
      </c>
      <c r="H275" s="4" t="s">
        <v>280</v>
      </c>
      <c r="I275" s="4">
        <v>6655971007</v>
      </c>
      <c r="J275" s="4" t="s">
        <v>281</v>
      </c>
      <c r="K275" s="4" t="s">
        <v>282</v>
      </c>
      <c r="L275" s="4">
        <v>-15.19</v>
      </c>
      <c r="M275" s="4">
        <v>-15.19</v>
      </c>
      <c r="N275" s="4"/>
      <c r="O275" s="5">
        <v>44025</v>
      </c>
      <c r="P275" s="4" t="s">
        <v>283</v>
      </c>
    </row>
    <row r="276" spans="1:16">
      <c r="A276" s="4" t="s">
        <v>45</v>
      </c>
      <c r="B276" s="5">
        <v>43227</v>
      </c>
      <c r="C276" s="4" t="str">
        <f>"004810740219"</f>
        <v>004810740219</v>
      </c>
      <c r="D276" s="4">
        <v>103982956</v>
      </c>
      <c r="E276" s="5">
        <v>43250</v>
      </c>
      <c r="F276" s="4">
        <v>2514</v>
      </c>
      <c r="G276" s="4">
        <v>5850</v>
      </c>
      <c r="H276" s="4" t="s">
        <v>280</v>
      </c>
      <c r="I276" s="4">
        <v>6655971007</v>
      </c>
      <c r="J276" s="4" t="s">
        <v>281</v>
      </c>
      <c r="K276" s="4" t="s">
        <v>282</v>
      </c>
      <c r="L276" s="4">
        <v>-33.25</v>
      </c>
      <c r="M276" s="4">
        <v>-33.25</v>
      </c>
      <c r="N276" s="4"/>
      <c r="O276" s="5">
        <v>44025</v>
      </c>
      <c r="P276" s="4" t="s">
        <v>283</v>
      </c>
    </row>
    <row r="277" spans="1:16">
      <c r="A277" s="4" t="s">
        <v>45</v>
      </c>
      <c r="B277" s="5">
        <v>43227</v>
      </c>
      <c r="C277" s="4" t="str">
        <f>"004810740220"</f>
        <v>004810740220</v>
      </c>
      <c r="D277" s="4">
        <v>103964653</v>
      </c>
      <c r="E277" s="5">
        <v>43250</v>
      </c>
      <c r="F277" s="4">
        <v>2533</v>
      </c>
      <c r="G277" s="4">
        <v>5850</v>
      </c>
      <c r="H277" s="4" t="s">
        <v>280</v>
      </c>
      <c r="I277" s="4">
        <v>6655971007</v>
      </c>
      <c r="J277" s="4" t="s">
        <v>281</v>
      </c>
      <c r="K277" s="4" t="s">
        <v>282</v>
      </c>
      <c r="L277" s="4">
        <v>-23.86</v>
      </c>
      <c r="M277" s="4">
        <v>-23.86</v>
      </c>
      <c r="N277" s="4"/>
      <c r="O277" s="5">
        <v>44025</v>
      </c>
      <c r="P277" s="4" t="s">
        <v>283</v>
      </c>
    </row>
    <row r="278" spans="1:16">
      <c r="A278" s="4" t="s">
        <v>45</v>
      </c>
      <c r="B278" s="5">
        <v>43227</v>
      </c>
      <c r="C278" s="4" t="str">
        <f>"004810740221"</f>
        <v>004810740221</v>
      </c>
      <c r="D278" s="4">
        <v>103985023</v>
      </c>
      <c r="E278" s="5">
        <v>43250</v>
      </c>
      <c r="F278" s="4">
        <v>2525</v>
      </c>
      <c r="G278" s="4">
        <v>5850</v>
      </c>
      <c r="H278" s="4" t="s">
        <v>280</v>
      </c>
      <c r="I278" s="4">
        <v>6655971007</v>
      </c>
      <c r="J278" s="4" t="s">
        <v>281</v>
      </c>
      <c r="K278" s="4" t="s">
        <v>282</v>
      </c>
      <c r="L278" s="4">
        <v>-25.18</v>
      </c>
      <c r="M278" s="4">
        <v>-25.18</v>
      </c>
      <c r="N278" s="4"/>
      <c r="O278" s="5">
        <v>44025</v>
      </c>
      <c r="P278" s="4" t="s">
        <v>283</v>
      </c>
    </row>
    <row r="279" spans="1:16">
      <c r="A279" s="4" t="s">
        <v>45</v>
      </c>
      <c r="B279" s="5">
        <v>43227</v>
      </c>
      <c r="C279" s="4" t="str">
        <f>"004810740222"</f>
        <v>004810740222</v>
      </c>
      <c r="D279" s="4">
        <v>103954527</v>
      </c>
      <c r="E279" s="5">
        <v>43250</v>
      </c>
      <c r="F279" s="4">
        <v>2575</v>
      </c>
      <c r="G279" s="4">
        <v>5850</v>
      </c>
      <c r="H279" s="4" t="s">
        <v>280</v>
      </c>
      <c r="I279" s="4">
        <v>6655971007</v>
      </c>
      <c r="J279" s="4" t="s">
        <v>281</v>
      </c>
      <c r="K279" s="4" t="s">
        <v>282</v>
      </c>
      <c r="L279" s="4">
        <v>-15.53</v>
      </c>
      <c r="M279" s="4">
        <v>-15.53</v>
      </c>
      <c r="N279" s="4"/>
      <c r="O279" s="5">
        <v>44025</v>
      </c>
      <c r="P279" s="4" t="s">
        <v>283</v>
      </c>
    </row>
    <row r="280" spans="1:16">
      <c r="A280" s="4" t="s">
        <v>45</v>
      </c>
      <c r="B280" s="5">
        <v>43227</v>
      </c>
      <c r="C280" s="4" t="str">
        <f>"004810740223"</f>
        <v>004810740223</v>
      </c>
      <c r="D280" s="4">
        <v>103975756</v>
      </c>
      <c r="E280" s="5">
        <v>43250</v>
      </c>
      <c r="F280" s="4">
        <v>2520</v>
      </c>
      <c r="G280" s="4">
        <v>5850</v>
      </c>
      <c r="H280" s="4" t="s">
        <v>280</v>
      </c>
      <c r="I280" s="4">
        <v>6655971007</v>
      </c>
      <c r="J280" s="4" t="s">
        <v>281</v>
      </c>
      <c r="K280" s="4" t="s">
        <v>282</v>
      </c>
      <c r="L280" s="4">
        <v>-16.100000000000001</v>
      </c>
      <c r="M280" s="4">
        <v>-16.100000000000001</v>
      </c>
      <c r="N280" s="4"/>
      <c r="O280" s="5">
        <v>44025</v>
      </c>
      <c r="P280" s="4" t="s">
        <v>283</v>
      </c>
    </row>
    <row r="281" spans="1:16">
      <c r="A281" s="4" t="s">
        <v>45</v>
      </c>
      <c r="B281" s="5">
        <v>43227</v>
      </c>
      <c r="C281" s="4" t="str">
        <f>"004810740224"</f>
        <v>004810740224</v>
      </c>
      <c r="D281" s="4">
        <v>103996594</v>
      </c>
      <c r="E281" s="5">
        <v>43250</v>
      </c>
      <c r="F281" s="4">
        <v>2483</v>
      </c>
      <c r="G281" s="4">
        <v>5850</v>
      </c>
      <c r="H281" s="4" t="s">
        <v>280</v>
      </c>
      <c r="I281" s="4">
        <v>6655971007</v>
      </c>
      <c r="J281" s="4" t="s">
        <v>281</v>
      </c>
      <c r="K281" s="4" t="s">
        <v>282</v>
      </c>
      <c r="L281" s="4">
        <v>-25.98</v>
      </c>
      <c r="M281" s="4">
        <v>-25.98</v>
      </c>
      <c r="N281" s="4"/>
      <c r="O281" s="5">
        <v>44025</v>
      </c>
      <c r="P281" s="4" t="s">
        <v>283</v>
      </c>
    </row>
    <row r="282" spans="1:16">
      <c r="A282" s="4" t="s">
        <v>45</v>
      </c>
      <c r="B282" s="5">
        <v>43227</v>
      </c>
      <c r="C282" s="4" t="str">
        <f>"004810740225"</f>
        <v>004810740225</v>
      </c>
      <c r="D282" s="4">
        <v>103997708</v>
      </c>
      <c r="E282" s="5">
        <v>43250</v>
      </c>
      <c r="F282" s="4">
        <v>2516</v>
      </c>
      <c r="G282" s="4">
        <v>5850</v>
      </c>
      <c r="H282" s="4" t="s">
        <v>280</v>
      </c>
      <c r="I282" s="4">
        <v>6655971007</v>
      </c>
      <c r="J282" s="4" t="s">
        <v>281</v>
      </c>
      <c r="K282" s="4" t="s">
        <v>282</v>
      </c>
      <c r="L282" s="4">
        <v>-21.34</v>
      </c>
      <c r="M282" s="4">
        <v>-21.34</v>
      </c>
      <c r="N282" s="4"/>
      <c r="O282" s="5">
        <v>44025</v>
      </c>
      <c r="P282" s="4" t="s">
        <v>283</v>
      </c>
    </row>
    <row r="283" spans="1:16">
      <c r="A283" s="4" t="s">
        <v>45</v>
      </c>
      <c r="B283" s="5">
        <v>43227</v>
      </c>
      <c r="C283" s="4" t="str">
        <f>"004810740226"</f>
        <v>004810740226</v>
      </c>
      <c r="D283" s="4">
        <v>103986149</v>
      </c>
      <c r="E283" s="5">
        <v>43250</v>
      </c>
      <c r="F283" s="4">
        <v>2523</v>
      </c>
      <c r="G283" s="4">
        <v>5850</v>
      </c>
      <c r="H283" s="4" t="s">
        <v>280</v>
      </c>
      <c r="I283" s="4">
        <v>6655971007</v>
      </c>
      <c r="J283" s="4" t="s">
        <v>281</v>
      </c>
      <c r="K283" s="4" t="s">
        <v>282</v>
      </c>
      <c r="L283" s="4">
        <v>-20.67</v>
      </c>
      <c r="M283" s="4">
        <v>-20.67</v>
      </c>
      <c r="N283" s="4"/>
      <c r="O283" s="5">
        <v>44025</v>
      </c>
      <c r="P283" s="4" t="s">
        <v>283</v>
      </c>
    </row>
    <row r="284" spans="1:16">
      <c r="A284" s="4" t="s">
        <v>45</v>
      </c>
      <c r="B284" s="5">
        <v>43227</v>
      </c>
      <c r="C284" s="4" t="str">
        <f>"004810740227"</f>
        <v>004810740227</v>
      </c>
      <c r="D284" s="4">
        <v>103978004</v>
      </c>
      <c r="E284" s="5">
        <v>43250</v>
      </c>
      <c r="F284" s="4">
        <v>2527</v>
      </c>
      <c r="G284" s="4">
        <v>5850</v>
      </c>
      <c r="H284" s="4" t="s">
        <v>280</v>
      </c>
      <c r="I284" s="4">
        <v>6655971007</v>
      </c>
      <c r="J284" s="4" t="s">
        <v>281</v>
      </c>
      <c r="K284" s="4" t="s">
        <v>282</v>
      </c>
      <c r="L284" s="4">
        <v>-7.59</v>
      </c>
      <c r="M284" s="4">
        <v>-7.59</v>
      </c>
      <c r="N284" s="4"/>
      <c r="O284" s="5">
        <v>44025</v>
      </c>
      <c r="P284" s="4" t="s">
        <v>283</v>
      </c>
    </row>
    <row r="285" spans="1:16">
      <c r="A285" s="4" t="s">
        <v>45</v>
      </c>
      <c r="B285" s="5">
        <v>43227</v>
      </c>
      <c r="C285" s="4" t="str">
        <f>"004810740228"</f>
        <v>004810740228</v>
      </c>
      <c r="D285" s="4">
        <v>103984940</v>
      </c>
      <c r="E285" s="5">
        <v>43250</v>
      </c>
      <c r="F285" s="4">
        <v>2528</v>
      </c>
      <c r="G285" s="4">
        <v>5850</v>
      </c>
      <c r="H285" s="4" t="s">
        <v>280</v>
      </c>
      <c r="I285" s="4">
        <v>6655971007</v>
      </c>
      <c r="J285" s="4" t="s">
        <v>281</v>
      </c>
      <c r="K285" s="4" t="s">
        <v>282</v>
      </c>
      <c r="L285" s="4">
        <v>-5.95</v>
      </c>
      <c r="M285" s="4">
        <v>-5.95</v>
      </c>
      <c r="N285" s="4"/>
      <c r="O285" s="5">
        <v>44025</v>
      </c>
      <c r="P285" s="4" t="s">
        <v>283</v>
      </c>
    </row>
    <row r="286" spans="1:16">
      <c r="A286" s="4" t="s">
        <v>45</v>
      </c>
      <c r="B286" s="5">
        <v>43227</v>
      </c>
      <c r="C286" s="4" t="str">
        <f>"004810740229"</f>
        <v>004810740229</v>
      </c>
      <c r="D286" s="4">
        <v>103987395</v>
      </c>
      <c r="E286" s="5">
        <v>43250</v>
      </c>
      <c r="F286" s="4">
        <v>2517</v>
      </c>
      <c r="G286" s="4">
        <v>5850</v>
      </c>
      <c r="H286" s="4" t="s">
        <v>280</v>
      </c>
      <c r="I286" s="4">
        <v>6655971007</v>
      </c>
      <c r="J286" s="4" t="s">
        <v>281</v>
      </c>
      <c r="K286" s="4" t="s">
        <v>282</v>
      </c>
      <c r="L286" s="4">
        <v>-5.89</v>
      </c>
      <c r="M286" s="4">
        <v>-5.89</v>
      </c>
      <c r="N286" s="4"/>
      <c r="O286" s="5">
        <v>44025</v>
      </c>
      <c r="P286" s="4" t="s">
        <v>283</v>
      </c>
    </row>
    <row r="287" spans="1:16">
      <c r="A287" s="4" t="s">
        <v>45</v>
      </c>
      <c r="B287" s="5">
        <v>43227</v>
      </c>
      <c r="C287" s="4" t="str">
        <f>"004810740230"</f>
        <v>004810740230</v>
      </c>
      <c r="D287" s="4">
        <v>103994881</v>
      </c>
      <c r="E287" s="5">
        <v>43250</v>
      </c>
      <c r="F287" s="4">
        <v>2510</v>
      </c>
      <c r="G287" s="4">
        <v>5850</v>
      </c>
      <c r="H287" s="4" t="s">
        <v>280</v>
      </c>
      <c r="I287" s="4">
        <v>6655971007</v>
      </c>
      <c r="J287" s="4" t="s">
        <v>281</v>
      </c>
      <c r="K287" s="4" t="s">
        <v>282</v>
      </c>
      <c r="L287" s="4">
        <v>-10.93</v>
      </c>
      <c r="M287" s="4">
        <v>-10.93</v>
      </c>
      <c r="N287" s="4"/>
      <c r="O287" s="5">
        <v>44025</v>
      </c>
      <c r="P287" s="4" t="s">
        <v>283</v>
      </c>
    </row>
    <row r="288" spans="1:16">
      <c r="A288" s="4" t="s">
        <v>17</v>
      </c>
      <c r="B288" s="5">
        <v>43217</v>
      </c>
      <c r="C288" s="4" t="str">
        <f>"E 3"</f>
        <v>E 3</v>
      </c>
      <c r="D288" s="4">
        <v>103409033</v>
      </c>
      <c r="E288" s="5">
        <v>43236</v>
      </c>
      <c r="F288" s="4">
        <v>2112</v>
      </c>
      <c r="G288" s="4">
        <v>108170</v>
      </c>
      <c r="H288" s="4" t="s">
        <v>285</v>
      </c>
      <c r="I288" s="4" t="s">
        <v>286</v>
      </c>
      <c r="J288" s="4" t="s">
        <v>287</v>
      </c>
      <c r="K288" s="4" t="s">
        <v>288</v>
      </c>
      <c r="L288" s="4">
        <v>90</v>
      </c>
      <c r="M288" s="4">
        <v>72.400000000000006</v>
      </c>
      <c r="N288" s="5">
        <v>43258</v>
      </c>
      <c r="O288" s="5">
        <v>43950</v>
      </c>
      <c r="P288" s="4" t="s">
        <v>21</v>
      </c>
    </row>
    <row r="289" spans="1:16">
      <c r="A289" s="4" t="s">
        <v>17</v>
      </c>
      <c r="B289" s="5">
        <v>43181</v>
      </c>
      <c r="C289" s="4" t="str">
        <f>"05/PA"</f>
        <v>05/PA</v>
      </c>
      <c r="D289" s="4">
        <v>99523612</v>
      </c>
      <c r="E289" s="5">
        <v>43203</v>
      </c>
      <c r="F289" s="4">
        <v>1634</v>
      </c>
      <c r="G289" s="4">
        <v>2400</v>
      </c>
      <c r="H289" s="4" t="s">
        <v>185</v>
      </c>
      <c r="I289" s="4">
        <v>1324150489</v>
      </c>
      <c r="J289" s="4" t="s">
        <v>186</v>
      </c>
      <c r="K289" s="4" t="s">
        <v>289</v>
      </c>
      <c r="L289" s="6">
        <v>2409.5</v>
      </c>
      <c r="M289" s="6">
        <v>1975</v>
      </c>
      <c r="N289" s="5">
        <v>43251</v>
      </c>
      <c r="O289" s="5">
        <v>43749</v>
      </c>
      <c r="P289" s="4" t="s">
        <v>59</v>
      </c>
    </row>
    <row r="290" spans="1:16">
      <c r="A290" s="4" t="s">
        <v>45</v>
      </c>
      <c r="B290" s="5">
        <v>43173</v>
      </c>
      <c r="C290" s="4" t="str">
        <f>"111801399658"</f>
        <v>111801399658</v>
      </c>
      <c r="D290" s="4">
        <v>98335363</v>
      </c>
      <c r="E290" s="5">
        <v>43185</v>
      </c>
      <c r="F290" s="4">
        <v>1409</v>
      </c>
      <c r="G290" s="4">
        <v>5822</v>
      </c>
      <c r="H290" s="4" t="s">
        <v>225</v>
      </c>
      <c r="I290" s="4">
        <v>4245520376</v>
      </c>
      <c r="J290" s="4" t="s">
        <v>226</v>
      </c>
      <c r="K290" s="4" t="s">
        <v>290</v>
      </c>
      <c r="L290" s="4">
        <v>-224.77</v>
      </c>
      <c r="M290" s="4">
        <v>-204.34</v>
      </c>
      <c r="N290" s="4"/>
      <c r="O290" s="5">
        <v>44196</v>
      </c>
      <c r="P290" s="4" t="s">
        <v>163</v>
      </c>
    </row>
    <row r="291" spans="1:16">
      <c r="A291" s="4" t="s">
        <v>45</v>
      </c>
      <c r="B291" s="5">
        <v>43172</v>
      </c>
      <c r="C291" s="4" t="str">
        <f>"2018/131/2"</f>
        <v>2018/131/2</v>
      </c>
      <c r="D291" s="4">
        <v>97968195</v>
      </c>
      <c r="E291" s="5">
        <v>43175</v>
      </c>
      <c r="F291" s="4">
        <v>1253</v>
      </c>
      <c r="G291" s="4">
        <v>112</v>
      </c>
      <c r="H291" s="4" t="s">
        <v>291</v>
      </c>
      <c r="I291" s="4">
        <v>1295960387</v>
      </c>
      <c r="J291" s="4" t="s">
        <v>292</v>
      </c>
      <c r="K291" s="4" t="s">
        <v>293</v>
      </c>
      <c r="L291" s="4">
        <v>-205.87</v>
      </c>
      <c r="M291" s="4">
        <v>-205.87</v>
      </c>
      <c r="N291" s="4"/>
      <c r="O291" s="5">
        <v>43563</v>
      </c>
      <c r="P291" s="4" t="s">
        <v>93</v>
      </c>
    </row>
    <row r="292" spans="1:16">
      <c r="A292" s="4" t="s">
        <v>17</v>
      </c>
      <c r="B292" s="5">
        <v>43159</v>
      </c>
      <c r="C292" s="4" t="str">
        <f>"2018000010"</f>
        <v>2018000010</v>
      </c>
      <c r="D292" s="4">
        <v>96681382</v>
      </c>
      <c r="E292" s="5">
        <v>43167</v>
      </c>
      <c r="F292" s="4">
        <v>1166</v>
      </c>
      <c r="G292" s="4">
        <v>5379</v>
      </c>
      <c r="H292" s="4" t="s">
        <v>121</v>
      </c>
      <c r="I292" s="4">
        <v>80061110377</v>
      </c>
      <c r="J292" s="4" t="s">
        <v>122</v>
      </c>
      <c r="K292" s="4" t="s">
        <v>294</v>
      </c>
      <c r="L292" s="6">
        <v>12685.62</v>
      </c>
      <c r="M292" s="6">
        <v>12685.62</v>
      </c>
      <c r="N292" s="5">
        <v>43189</v>
      </c>
      <c r="O292" s="5">
        <v>43500</v>
      </c>
      <c r="P292" s="4" t="s">
        <v>31</v>
      </c>
    </row>
    <row r="293" spans="1:16">
      <c r="A293" s="4" t="s">
        <v>17</v>
      </c>
      <c r="B293" s="5">
        <v>43159</v>
      </c>
      <c r="C293" s="4" t="str">
        <f>"3/PA"</f>
        <v>3/PA</v>
      </c>
      <c r="D293" s="4">
        <v>98415213</v>
      </c>
      <c r="E293" s="5">
        <v>43178</v>
      </c>
      <c r="F293" s="4">
        <v>1271</v>
      </c>
      <c r="G293" s="4">
        <v>6088</v>
      </c>
      <c r="H293" s="4" t="s">
        <v>259</v>
      </c>
      <c r="I293" s="4">
        <v>271420200</v>
      </c>
      <c r="J293" s="4" t="s">
        <v>260</v>
      </c>
      <c r="K293" s="4" t="s">
        <v>295</v>
      </c>
      <c r="L293" s="4">
        <v>101.5</v>
      </c>
      <c r="M293" s="4">
        <v>-866.5</v>
      </c>
      <c r="N293" s="5">
        <v>43220</v>
      </c>
      <c r="O293" s="5">
        <v>43483</v>
      </c>
      <c r="P293" s="4" t="s">
        <v>39</v>
      </c>
    </row>
    <row r="294" spans="1:16">
      <c r="A294" s="4" t="s">
        <v>17</v>
      </c>
      <c r="B294" s="5">
        <v>43159</v>
      </c>
      <c r="C294" s="4" t="str">
        <f>"4/PA"</f>
        <v>4/PA</v>
      </c>
      <c r="D294" s="4">
        <v>98415222</v>
      </c>
      <c r="E294" s="5">
        <v>43178</v>
      </c>
      <c r="F294" s="4">
        <v>1270</v>
      </c>
      <c r="G294" s="4">
        <v>6088</v>
      </c>
      <c r="H294" s="4" t="s">
        <v>259</v>
      </c>
      <c r="I294" s="4">
        <v>271420200</v>
      </c>
      <c r="J294" s="4" t="s">
        <v>260</v>
      </c>
      <c r="K294" s="4" t="s">
        <v>262</v>
      </c>
      <c r="L294" s="4">
        <v>138.19</v>
      </c>
      <c r="M294" s="4">
        <v>113.27</v>
      </c>
      <c r="N294" s="5">
        <v>43220</v>
      </c>
      <c r="O294" s="5">
        <v>43483</v>
      </c>
      <c r="P294" s="4" t="s">
        <v>39</v>
      </c>
    </row>
    <row r="295" spans="1:16">
      <c r="A295" s="4" t="s">
        <v>45</v>
      </c>
      <c r="B295" s="5">
        <v>43137</v>
      </c>
      <c r="C295" s="4" t="str">
        <f>"1/E"</f>
        <v>1/E</v>
      </c>
      <c r="D295" s="4">
        <v>94548017</v>
      </c>
      <c r="E295" s="5">
        <v>43158</v>
      </c>
      <c r="F295" s="4">
        <v>832</v>
      </c>
      <c r="G295" s="4">
        <v>107926</v>
      </c>
      <c r="H295" s="4" t="s">
        <v>296</v>
      </c>
      <c r="I295" s="4">
        <v>2767290352</v>
      </c>
      <c r="J295" s="4" t="s">
        <v>297</v>
      </c>
      <c r="K295" s="4" t="s">
        <v>298</v>
      </c>
      <c r="L295" s="6">
        <v>-2385</v>
      </c>
      <c r="M295" s="6">
        <v>-2385</v>
      </c>
      <c r="N295" s="5">
        <v>43167</v>
      </c>
      <c r="O295" s="5">
        <v>43899</v>
      </c>
      <c r="P295" s="4" t="s">
        <v>31</v>
      </c>
    </row>
    <row r="296" spans="1:16">
      <c r="A296" s="4" t="s">
        <v>45</v>
      </c>
      <c r="B296" s="5">
        <v>43130</v>
      </c>
      <c r="C296" s="4" t="str">
        <f>"52/D"</f>
        <v>52/D</v>
      </c>
      <c r="D296" s="4">
        <v>93956116</v>
      </c>
      <c r="E296" s="5">
        <v>43143</v>
      </c>
      <c r="F296" s="4">
        <v>632</v>
      </c>
      <c r="G296" s="4">
        <v>4475</v>
      </c>
      <c r="H296" s="4" t="s">
        <v>239</v>
      </c>
      <c r="I296" s="4">
        <v>915090393</v>
      </c>
      <c r="J296" s="4" t="s">
        <v>240</v>
      </c>
      <c r="K296" s="4" t="s">
        <v>241</v>
      </c>
      <c r="L296" s="6">
        <v>-1526.2</v>
      </c>
      <c r="M296" s="6">
        <v>-1453.52</v>
      </c>
      <c r="N296" s="4"/>
      <c r="O296" s="5">
        <v>44196</v>
      </c>
      <c r="P296" s="4" t="s">
        <v>31</v>
      </c>
    </row>
    <row r="297" spans="1:16">
      <c r="A297" s="4" t="s">
        <v>45</v>
      </c>
      <c r="B297" s="5">
        <v>43124</v>
      </c>
      <c r="C297" s="4" t="str">
        <f>"411800819595"</f>
        <v>411800819595</v>
      </c>
      <c r="D297" s="4">
        <v>93642203</v>
      </c>
      <c r="E297" s="5">
        <v>43145</v>
      </c>
      <c r="F297" s="4">
        <v>686</v>
      </c>
      <c r="G297" s="4">
        <v>105264</v>
      </c>
      <c r="H297" s="4" t="s">
        <v>299</v>
      </c>
      <c r="I297" s="4">
        <v>2221101203</v>
      </c>
      <c r="J297" s="4" t="s">
        <v>226</v>
      </c>
      <c r="K297" s="4" t="s">
        <v>300</v>
      </c>
      <c r="L297" s="4">
        <v>-47.36</v>
      </c>
      <c r="M297" s="4">
        <v>-44.02</v>
      </c>
      <c r="N297" s="4"/>
      <c r="O297" s="5">
        <v>44196</v>
      </c>
      <c r="P297" s="4" t="s">
        <v>283</v>
      </c>
    </row>
    <row r="298" spans="1:16">
      <c r="A298" s="4" t="s">
        <v>45</v>
      </c>
      <c r="B298" s="5">
        <v>43122</v>
      </c>
      <c r="C298" s="4" t="str">
        <f>"111800442850"</f>
        <v>111800442850</v>
      </c>
      <c r="D298" s="4">
        <v>93296521</v>
      </c>
      <c r="E298" s="5">
        <v>43130</v>
      </c>
      <c r="F298" s="4">
        <v>436</v>
      </c>
      <c r="G298" s="4">
        <v>5822</v>
      </c>
      <c r="H298" s="4" t="s">
        <v>225</v>
      </c>
      <c r="I298" s="4">
        <v>4245520376</v>
      </c>
      <c r="J298" s="4" t="s">
        <v>226</v>
      </c>
      <c r="K298" s="4" t="s">
        <v>301</v>
      </c>
      <c r="L298" s="4">
        <v>-104.71</v>
      </c>
      <c r="M298" s="4">
        <v>-95.19</v>
      </c>
      <c r="N298" s="4"/>
      <c r="O298" s="5">
        <v>43489</v>
      </c>
      <c r="P298" s="4" t="s">
        <v>163</v>
      </c>
    </row>
    <row r="299" spans="1:16">
      <c r="A299" s="4" t="s">
        <v>45</v>
      </c>
      <c r="B299" s="5">
        <v>43122</v>
      </c>
      <c r="C299" s="4" t="str">
        <f>"111800442854"</f>
        <v>111800442854</v>
      </c>
      <c r="D299" s="4">
        <v>93296643</v>
      </c>
      <c r="E299" s="5">
        <v>43130</v>
      </c>
      <c r="F299" s="4">
        <v>440</v>
      </c>
      <c r="G299" s="4">
        <v>5822</v>
      </c>
      <c r="H299" s="4" t="s">
        <v>225</v>
      </c>
      <c r="I299" s="4">
        <v>4245520376</v>
      </c>
      <c r="J299" s="4" t="s">
        <v>226</v>
      </c>
      <c r="K299" s="4" t="s">
        <v>302</v>
      </c>
      <c r="L299" s="4">
        <v>-138.80000000000001</v>
      </c>
      <c r="M299" s="4">
        <v>-126.18</v>
      </c>
      <c r="N299" s="4"/>
      <c r="O299" s="5">
        <v>44196</v>
      </c>
      <c r="P299" s="4" t="s">
        <v>163</v>
      </c>
    </row>
    <row r="300" spans="1:16">
      <c r="A300" s="4" t="s">
        <v>17</v>
      </c>
      <c r="B300" s="5">
        <v>43039</v>
      </c>
      <c r="C300" s="4" t="str">
        <f>"1715 /FE"</f>
        <v>1715 /FE</v>
      </c>
      <c r="D300" s="4">
        <v>87699421</v>
      </c>
      <c r="E300" s="5">
        <v>43080</v>
      </c>
      <c r="F300" s="4">
        <v>5695</v>
      </c>
      <c r="G300" s="4">
        <v>4003</v>
      </c>
      <c r="H300" s="4" t="s">
        <v>303</v>
      </c>
      <c r="I300" s="4">
        <v>463980383</v>
      </c>
      <c r="J300" s="4" t="s">
        <v>304</v>
      </c>
      <c r="K300" s="4" t="s">
        <v>305</v>
      </c>
      <c r="L300" s="6">
        <v>1810.6</v>
      </c>
      <c r="M300" s="6">
        <v>1740.96</v>
      </c>
      <c r="N300" s="5">
        <v>43092</v>
      </c>
      <c r="O300" s="5">
        <v>43574</v>
      </c>
      <c r="P300" s="4" t="s">
        <v>31</v>
      </c>
    </row>
    <row r="301" spans="1:16">
      <c r="A301" s="4" t="s">
        <v>45</v>
      </c>
      <c r="B301" s="5">
        <v>43038</v>
      </c>
      <c r="C301" s="4" t="str">
        <f>"O000000971"</f>
        <v>O000000971</v>
      </c>
      <c r="D301" s="4">
        <v>85428063</v>
      </c>
      <c r="E301" s="5">
        <v>43054</v>
      </c>
      <c r="F301" s="4">
        <v>4968</v>
      </c>
      <c r="G301" s="4">
        <v>7140</v>
      </c>
      <c r="H301" s="4" t="s">
        <v>306</v>
      </c>
      <c r="I301" s="4">
        <v>6832931007</v>
      </c>
      <c r="J301" s="4" t="s">
        <v>307</v>
      </c>
      <c r="K301" s="4" t="s">
        <v>308</v>
      </c>
      <c r="L301" s="4">
        <v>-627.02</v>
      </c>
      <c r="M301" s="4">
        <v>-627.02</v>
      </c>
      <c r="N301" s="4"/>
      <c r="O301" s="4"/>
      <c r="P301" s="4" t="s">
        <v>163</v>
      </c>
    </row>
    <row r="302" spans="1:16">
      <c r="A302" s="4" t="s">
        <v>45</v>
      </c>
      <c r="B302" s="5">
        <v>43038</v>
      </c>
      <c r="C302" s="4" t="str">
        <f>"O000000973"</f>
        <v>O000000973</v>
      </c>
      <c r="D302" s="4">
        <v>85428067</v>
      </c>
      <c r="E302" s="5">
        <v>43054</v>
      </c>
      <c r="F302" s="4">
        <v>4967</v>
      </c>
      <c r="G302" s="4">
        <v>7140</v>
      </c>
      <c r="H302" s="4" t="s">
        <v>306</v>
      </c>
      <c r="I302" s="4">
        <v>6832931007</v>
      </c>
      <c r="J302" s="4" t="s">
        <v>307</v>
      </c>
      <c r="K302" s="4" t="s">
        <v>309</v>
      </c>
      <c r="L302" s="4">
        <v>-627.02</v>
      </c>
      <c r="M302" s="4">
        <v>-627.02</v>
      </c>
      <c r="N302" s="4"/>
      <c r="O302" s="4"/>
      <c r="P302" s="4" t="s">
        <v>163</v>
      </c>
    </row>
    <row r="303" spans="1:16">
      <c r="A303" s="4" t="s">
        <v>45</v>
      </c>
      <c r="B303" s="5">
        <v>43011</v>
      </c>
      <c r="C303" s="4" t="str">
        <f>"251/E"</f>
        <v>251/E</v>
      </c>
      <c r="D303" s="4">
        <v>82982128</v>
      </c>
      <c r="E303" s="5">
        <v>43018</v>
      </c>
      <c r="F303" s="4">
        <v>4530</v>
      </c>
      <c r="G303" s="4">
        <v>4673</v>
      </c>
      <c r="H303" s="4" t="s">
        <v>310</v>
      </c>
      <c r="I303" s="4"/>
      <c r="J303" s="4" t="s">
        <v>311</v>
      </c>
      <c r="K303" s="4" t="s">
        <v>312</v>
      </c>
      <c r="L303" s="4">
        <v>-283.58999999999997</v>
      </c>
      <c r="M303" s="4">
        <v>-283.58999999999997</v>
      </c>
      <c r="N303" s="4"/>
      <c r="O303" s="4"/>
      <c r="P303" s="4" t="s">
        <v>31</v>
      </c>
    </row>
    <row r="304" spans="1:16">
      <c r="A304" s="4" t="s">
        <v>45</v>
      </c>
      <c r="B304" s="5">
        <v>42992</v>
      </c>
      <c r="C304" s="4" t="str">
        <f>"5750474785"</f>
        <v>5750474785</v>
      </c>
      <c r="D304" s="4">
        <v>81699495</v>
      </c>
      <c r="E304" s="5">
        <v>43012</v>
      </c>
      <c r="F304" s="4">
        <v>4444</v>
      </c>
      <c r="G304" s="4">
        <v>6611</v>
      </c>
      <c r="H304" s="4" t="s">
        <v>205</v>
      </c>
      <c r="I304" s="4">
        <v>8526440154</v>
      </c>
      <c r="J304" s="4" t="s">
        <v>206</v>
      </c>
      <c r="K304" s="4" t="s">
        <v>313</v>
      </c>
      <c r="L304" s="6">
        <v>-1432.74</v>
      </c>
      <c r="M304" s="6">
        <v>-1174.3800000000001</v>
      </c>
      <c r="N304" s="5">
        <v>43033</v>
      </c>
      <c r="O304" s="5">
        <v>43489</v>
      </c>
      <c r="P304" s="4" t="s">
        <v>163</v>
      </c>
    </row>
    <row r="305" spans="1:16">
      <c r="A305" s="4" t="s">
        <v>45</v>
      </c>
      <c r="B305" s="5">
        <v>42954</v>
      </c>
      <c r="C305" s="4" t="str">
        <f>"8H00708725"</f>
        <v>8H00708725</v>
      </c>
      <c r="D305" s="4">
        <v>79535311</v>
      </c>
      <c r="E305" s="5">
        <v>42979</v>
      </c>
      <c r="F305" s="4">
        <v>4030</v>
      </c>
      <c r="G305" s="4">
        <v>2386</v>
      </c>
      <c r="H305" s="4" t="s">
        <v>314</v>
      </c>
      <c r="I305" s="4">
        <v>488410010</v>
      </c>
      <c r="J305" s="4" t="s">
        <v>315</v>
      </c>
      <c r="K305" s="4" t="s">
        <v>316</v>
      </c>
      <c r="L305" s="4">
        <v>-74.11</v>
      </c>
      <c r="M305" s="4">
        <v>-60.74</v>
      </c>
      <c r="N305" s="4"/>
      <c r="O305" s="5">
        <v>44196</v>
      </c>
      <c r="P305" s="4" t="s">
        <v>163</v>
      </c>
    </row>
    <row r="306" spans="1:16">
      <c r="A306" s="4" t="s">
        <v>45</v>
      </c>
      <c r="B306" s="5">
        <v>42949</v>
      </c>
      <c r="C306" s="4" t="str">
        <f>"171154538"</f>
        <v>171154538</v>
      </c>
      <c r="D306" s="4">
        <v>78991922</v>
      </c>
      <c r="E306" s="5">
        <v>42956</v>
      </c>
      <c r="F306" s="4">
        <v>3713</v>
      </c>
      <c r="G306" s="4">
        <v>107435</v>
      </c>
      <c r="H306" s="4" t="s">
        <v>208</v>
      </c>
      <c r="I306" s="4">
        <v>1565370382</v>
      </c>
      <c r="J306" s="4" t="s">
        <v>209</v>
      </c>
      <c r="K306" s="4" t="s">
        <v>317</v>
      </c>
      <c r="L306" s="4">
        <v>-542.02</v>
      </c>
      <c r="M306" s="4">
        <v>-444.28</v>
      </c>
      <c r="N306" s="4"/>
      <c r="O306" s="5">
        <v>44196</v>
      </c>
      <c r="P306" s="4" t="s">
        <v>163</v>
      </c>
    </row>
    <row r="307" spans="1:16">
      <c r="A307" s="4" t="s">
        <v>45</v>
      </c>
      <c r="B307" s="5">
        <v>42930</v>
      </c>
      <c r="C307" s="4" t="str">
        <f>"111703538767"</f>
        <v>111703538767</v>
      </c>
      <c r="D307" s="4">
        <v>78171867</v>
      </c>
      <c r="E307" s="5">
        <v>42958</v>
      </c>
      <c r="F307" s="4">
        <v>3792</v>
      </c>
      <c r="G307" s="4">
        <v>5822</v>
      </c>
      <c r="H307" s="4" t="s">
        <v>225</v>
      </c>
      <c r="I307" s="4">
        <v>4245520376</v>
      </c>
      <c r="J307" s="4" t="s">
        <v>226</v>
      </c>
      <c r="K307" s="4" t="s">
        <v>318</v>
      </c>
      <c r="L307" s="6">
        <v>-1026.49</v>
      </c>
      <c r="M307" s="4">
        <v>-933.17</v>
      </c>
      <c r="N307" s="4"/>
      <c r="O307" s="5">
        <v>44196</v>
      </c>
      <c r="P307" s="4" t="s">
        <v>163</v>
      </c>
    </row>
    <row r="308" spans="1:16">
      <c r="A308" s="4" t="s">
        <v>45</v>
      </c>
      <c r="B308" s="5">
        <v>42930</v>
      </c>
      <c r="C308" s="4" t="str">
        <f>"111703538773"</f>
        <v>111703538773</v>
      </c>
      <c r="D308" s="4">
        <v>78173480</v>
      </c>
      <c r="E308" s="5">
        <v>42958</v>
      </c>
      <c r="F308" s="4">
        <v>3780</v>
      </c>
      <c r="G308" s="4">
        <v>5822</v>
      </c>
      <c r="H308" s="4" t="s">
        <v>225</v>
      </c>
      <c r="I308" s="4">
        <v>4245520376</v>
      </c>
      <c r="J308" s="4" t="s">
        <v>226</v>
      </c>
      <c r="K308" s="4" t="s">
        <v>319</v>
      </c>
      <c r="L308" s="4">
        <v>-158.46</v>
      </c>
      <c r="M308" s="4">
        <v>-144.05000000000001</v>
      </c>
      <c r="N308" s="4"/>
      <c r="O308" s="5">
        <v>44196</v>
      </c>
      <c r="P308" s="4" t="s">
        <v>163</v>
      </c>
    </row>
    <row r="309" spans="1:16">
      <c r="A309" s="4" t="s">
        <v>45</v>
      </c>
      <c r="B309" s="5">
        <v>42930</v>
      </c>
      <c r="C309" s="4" t="str">
        <f>"111703538777"</f>
        <v>111703538777</v>
      </c>
      <c r="D309" s="4">
        <v>78171165</v>
      </c>
      <c r="E309" s="5">
        <v>42958</v>
      </c>
      <c r="F309" s="4">
        <v>3793</v>
      </c>
      <c r="G309" s="4">
        <v>5822</v>
      </c>
      <c r="H309" s="4" t="s">
        <v>225</v>
      </c>
      <c r="I309" s="4">
        <v>4245520376</v>
      </c>
      <c r="J309" s="4" t="s">
        <v>226</v>
      </c>
      <c r="K309" s="4" t="s">
        <v>320</v>
      </c>
      <c r="L309" s="4">
        <v>-454.83</v>
      </c>
      <c r="M309" s="4">
        <v>-413.48</v>
      </c>
      <c r="N309" s="4"/>
      <c r="O309" s="5">
        <v>43489</v>
      </c>
      <c r="P309" s="4" t="s">
        <v>163</v>
      </c>
    </row>
    <row r="310" spans="1:16">
      <c r="A310" s="4" t="s">
        <v>17</v>
      </c>
      <c r="B310" s="5">
        <v>42886</v>
      </c>
      <c r="C310" s="4" t="str">
        <f>"906/PA"</f>
        <v>906/PA</v>
      </c>
      <c r="D310" s="4">
        <v>73535321</v>
      </c>
      <c r="E310" s="5">
        <v>43075</v>
      </c>
      <c r="F310" s="4">
        <v>5658</v>
      </c>
      <c r="G310" s="4">
        <v>7185</v>
      </c>
      <c r="H310" s="4" t="s">
        <v>321</v>
      </c>
      <c r="I310" s="4">
        <v>4201270370</v>
      </c>
      <c r="J310" s="4" t="s">
        <v>322</v>
      </c>
      <c r="K310" s="4" t="s">
        <v>323</v>
      </c>
      <c r="L310" s="4">
        <v>540.44000000000005</v>
      </c>
      <c r="M310" s="4">
        <v>519.65</v>
      </c>
      <c r="N310" s="5">
        <v>42923</v>
      </c>
      <c r="O310" s="5">
        <v>43549</v>
      </c>
      <c r="P310" s="4" t="s">
        <v>31</v>
      </c>
    </row>
    <row r="311" spans="1:16">
      <c r="A311" s="4" t="s">
        <v>17</v>
      </c>
      <c r="B311" s="5">
        <v>42825</v>
      </c>
      <c r="C311" s="4" t="str">
        <f>"458 /FE"</f>
        <v>458 /FE</v>
      </c>
      <c r="D311" s="4">
        <v>68881545</v>
      </c>
      <c r="E311" s="5">
        <v>42859</v>
      </c>
      <c r="F311" s="4">
        <v>2197</v>
      </c>
      <c r="G311" s="4">
        <v>4003</v>
      </c>
      <c r="H311" s="4" t="s">
        <v>303</v>
      </c>
      <c r="I311" s="4">
        <v>463980383</v>
      </c>
      <c r="J311" s="4" t="s">
        <v>304</v>
      </c>
      <c r="K311" s="4" t="s">
        <v>324</v>
      </c>
      <c r="L311" s="6">
        <v>1635.05</v>
      </c>
      <c r="M311" s="6">
        <v>1635.05</v>
      </c>
      <c r="N311" s="5">
        <v>42873</v>
      </c>
      <c r="O311" s="5">
        <v>44112</v>
      </c>
      <c r="P311" s="4" t="s">
        <v>31</v>
      </c>
    </row>
    <row r="312" spans="1:16">
      <c r="A312" s="4" t="s">
        <v>45</v>
      </c>
      <c r="B312" s="5">
        <v>42814</v>
      </c>
      <c r="C312" s="4" t="str">
        <f>"111701432318"</f>
        <v>111701432318</v>
      </c>
      <c r="D312" s="4">
        <v>66430744</v>
      </c>
      <c r="E312" s="5">
        <v>42846</v>
      </c>
      <c r="F312" s="4">
        <v>1949</v>
      </c>
      <c r="G312" s="4">
        <v>5822</v>
      </c>
      <c r="H312" s="4" t="s">
        <v>225</v>
      </c>
      <c r="I312" s="4">
        <v>4245520376</v>
      </c>
      <c r="J312" s="4" t="s">
        <v>226</v>
      </c>
      <c r="K312" s="4" t="s">
        <v>325</v>
      </c>
      <c r="L312" s="4">
        <v>-504.98</v>
      </c>
      <c r="M312" s="4">
        <v>-459.07</v>
      </c>
      <c r="N312" s="4"/>
      <c r="O312" s="5">
        <v>44196</v>
      </c>
      <c r="P312" s="4" t="s">
        <v>163</v>
      </c>
    </row>
    <row r="313" spans="1:16">
      <c r="A313" s="4" t="s">
        <v>17</v>
      </c>
      <c r="B313" s="5">
        <v>42794</v>
      </c>
      <c r="C313" s="4" t="str">
        <f>"294 /FE"</f>
        <v>294 /FE</v>
      </c>
      <c r="D313" s="4">
        <v>66204323</v>
      </c>
      <c r="E313" s="5">
        <v>42821</v>
      </c>
      <c r="F313" s="4">
        <v>1597</v>
      </c>
      <c r="G313" s="4">
        <v>4003</v>
      </c>
      <c r="H313" s="4" t="s">
        <v>303</v>
      </c>
      <c r="I313" s="4">
        <v>463980383</v>
      </c>
      <c r="J313" s="4" t="s">
        <v>304</v>
      </c>
      <c r="K313" s="4" t="s">
        <v>326</v>
      </c>
      <c r="L313" s="6">
        <v>1204.67</v>
      </c>
      <c r="M313" s="6">
        <v>1027.6400000000001</v>
      </c>
      <c r="N313" s="5">
        <v>42844</v>
      </c>
      <c r="O313" s="5">
        <v>44117</v>
      </c>
      <c r="P313" s="4" t="s">
        <v>31</v>
      </c>
    </row>
    <row r="314" spans="1:16">
      <c r="A314" s="4" t="s">
        <v>17</v>
      </c>
      <c r="B314" s="5">
        <v>42794</v>
      </c>
      <c r="C314" s="4" t="str">
        <f>"294 /FE"</f>
        <v>294 /FE</v>
      </c>
      <c r="D314" s="4">
        <v>66204323</v>
      </c>
      <c r="E314" s="5">
        <v>42821</v>
      </c>
      <c r="F314" s="4">
        <v>1597</v>
      </c>
      <c r="G314" s="4">
        <v>4003</v>
      </c>
      <c r="H314" s="4" t="s">
        <v>303</v>
      </c>
      <c r="I314" s="4">
        <v>463980383</v>
      </c>
      <c r="J314" s="4" t="s">
        <v>304</v>
      </c>
      <c r="K314" s="4" t="s">
        <v>326</v>
      </c>
      <c r="L314" s="6">
        <v>1204.67</v>
      </c>
      <c r="M314" s="4">
        <v>177.03</v>
      </c>
      <c r="N314" s="5">
        <v>42844</v>
      </c>
      <c r="O314" s="5">
        <v>44112</v>
      </c>
      <c r="P314" s="4" t="s">
        <v>31</v>
      </c>
    </row>
    <row r="315" spans="1:16">
      <c r="A315" s="4" t="s">
        <v>45</v>
      </c>
      <c r="B315" s="5">
        <v>42788</v>
      </c>
      <c r="C315" s="4" t="str">
        <f>"38127450100703A"</f>
        <v>38127450100703A</v>
      </c>
      <c r="D315" s="4">
        <v>63835718</v>
      </c>
      <c r="E315" s="5">
        <v>42942</v>
      </c>
      <c r="F315" s="4">
        <v>3531</v>
      </c>
      <c r="G315" s="4">
        <v>5925</v>
      </c>
      <c r="H315" s="4" t="s">
        <v>327</v>
      </c>
      <c r="I315" s="4">
        <v>9633951000</v>
      </c>
      <c r="J315" s="4" t="s">
        <v>217</v>
      </c>
      <c r="K315" s="4"/>
      <c r="L315" s="4">
        <v>-10</v>
      </c>
      <c r="M315" s="4">
        <v>-10</v>
      </c>
      <c r="N315" s="4"/>
      <c r="O315" s="5">
        <v>43563</v>
      </c>
      <c r="P315" s="4" t="s">
        <v>59</v>
      </c>
    </row>
    <row r="316" spans="1:16">
      <c r="A316" s="4" t="s">
        <v>45</v>
      </c>
      <c r="B316" s="5">
        <v>42772</v>
      </c>
      <c r="C316" s="4" t="str">
        <f>"8H00125887"</f>
        <v>8H00125887</v>
      </c>
      <c r="D316" s="4">
        <v>63561715</v>
      </c>
      <c r="E316" s="5">
        <v>42851</v>
      </c>
      <c r="F316" s="4">
        <v>2042</v>
      </c>
      <c r="G316" s="4">
        <v>2386</v>
      </c>
      <c r="H316" s="4" t="s">
        <v>314</v>
      </c>
      <c r="I316" s="4">
        <v>488410010</v>
      </c>
      <c r="J316" s="4" t="s">
        <v>315</v>
      </c>
      <c r="K316" s="4" t="s">
        <v>328</v>
      </c>
      <c r="L316" s="4">
        <v>-141.12</v>
      </c>
      <c r="M316" s="4">
        <v>-115.67</v>
      </c>
      <c r="N316" s="4"/>
      <c r="O316" s="5">
        <v>44196</v>
      </c>
      <c r="P316" s="4" t="s">
        <v>163</v>
      </c>
    </row>
    <row r="317" spans="1:16">
      <c r="A317" s="4" t="s">
        <v>45</v>
      </c>
      <c r="B317" s="5">
        <v>42755</v>
      </c>
      <c r="C317" s="4" t="str">
        <f>"S000000046"</f>
        <v>S000000046</v>
      </c>
      <c r="D317" s="4">
        <v>60837027</v>
      </c>
      <c r="E317" s="5">
        <v>42775</v>
      </c>
      <c r="F317" s="4">
        <v>779</v>
      </c>
      <c r="G317" s="4">
        <v>7140</v>
      </c>
      <c r="H317" s="4" t="s">
        <v>306</v>
      </c>
      <c r="I317" s="4">
        <v>6832931007</v>
      </c>
      <c r="J317" s="4" t="s">
        <v>307</v>
      </c>
      <c r="K317" s="4" t="s">
        <v>329</v>
      </c>
      <c r="L317" s="4">
        <v>-929.79</v>
      </c>
      <c r="M317" s="4">
        <v>-762.12</v>
      </c>
      <c r="N317" s="4"/>
      <c r="O317" s="4"/>
      <c r="P317" s="4" t="s">
        <v>163</v>
      </c>
    </row>
    <row r="318" spans="1:16">
      <c r="A318" s="4" t="s">
        <v>45</v>
      </c>
      <c r="B318" s="5">
        <v>42755</v>
      </c>
      <c r="C318" s="4" t="str">
        <f>"S000000047"</f>
        <v>S000000047</v>
      </c>
      <c r="D318" s="4">
        <v>60837031</v>
      </c>
      <c r="E318" s="5">
        <v>42775</v>
      </c>
      <c r="F318" s="4">
        <v>778</v>
      </c>
      <c r="G318" s="4">
        <v>7140</v>
      </c>
      <c r="H318" s="4" t="s">
        <v>306</v>
      </c>
      <c r="I318" s="4">
        <v>6832931007</v>
      </c>
      <c r="J318" s="4" t="s">
        <v>307</v>
      </c>
      <c r="K318" s="4" t="s">
        <v>330</v>
      </c>
      <c r="L318" s="6">
        <v>-2699.19</v>
      </c>
      <c r="M318" s="6">
        <v>-2212.4499999999998</v>
      </c>
      <c r="N318" s="4"/>
      <c r="O318" s="4"/>
      <c r="P318" s="4" t="s">
        <v>163</v>
      </c>
    </row>
    <row r="319" spans="1:16">
      <c r="A319" s="4" t="s">
        <v>45</v>
      </c>
      <c r="B319" s="5">
        <v>42755</v>
      </c>
      <c r="C319" s="4" t="str">
        <f>"S000000048"</f>
        <v>S000000048</v>
      </c>
      <c r="D319" s="4">
        <v>60837093</v>
      </c>
      <c r="E319" s="5">
        <v>42775</v>
      </c>
      <c r="F319" s="4">
        <v>777</v>
      </c>
      <c r="G319" s="4">
        <v>7140</v>
      </c>
      <c r="H319" s="4" t="s">
        <v>306</v>
      </c>
      <c r="I319" s="4">
        <v>6832931007</v>
      </c>
      <c r="J319" s="4" t="s">
        <v>307</v>
      </c>
      <c r="K319" s="4" t="s">
        <v>329</v>
      </c>
      <c r="L319" s="6">
        <v>-5150.82</v>
      </c>
      <c r="M319" s="6">
        <v>-4221.99</v>
      </c>
      <c r="N319" s="4"/>
      <c r="O319" s="4"/>
      <c r="P319" s="4" t="s">
        <v>163</v>
      </c>
    </row>
    <row r="320" spans="1:16">
      <c r="A320" s="4" t="s">
        <v>45</v>
      </c>
      <c r="B320" s="5">
        <v>42755</v>
      </c>
      <c r="C320" s="4" t="str">
        <f>"S000000050"</f>
        <v>S000000050</v>
      </c>
      <c r="D320" s="4">
        <v>60837144</v>
      </c>
      <c r="E320" s="5">
        <v>42775</v>
      </c>
      <c r="F320" s="4">
        <v>775</v>
      </c>
      <c r="G320" s="4">
        <v>7140</v>
      </c>
      <c r="H320" s="4" t="s">
        <v>306</v>
      </c>
      <c r="I320" s="4">
        <v>6832931007</v>
      </c>
      <c r="J320" s="4" t="s">
        <v>307</v>
      </c>
      <c r="K320" s="4" t="s">
        <v>329</v>
      </c>
      <c r="L320" s="6">
        <v>-5042.58</v>
      </c>
      <c r="M320" s="6">
        <v>-4133.26</v>
      </c>
      <c r="N320" s="4"/>
      <c r="O320" s="4"/>
      <c r="P320" s="4" t="s">
        <v>163</v>
      </c>
    </row>
    <row r="321" spans="1:16">
      <c r="A321" s="4" t="s">
        <v>17</v>
      </c>
      <c r="B321" s="5">
        <v>42732</v>
      </c>
      <c r="C321" s="4" t="str">
        <f>"7/A/2016"</f>
        <v>7/A/2016</v>
      </c>
      <c r="D321" s="4">
        <v>65910294</v>
      </c>
      <c r="E321" s="5">
        <v>42838</v>
      </c>
      <c r="F321" s="4">
        <v>1824</v>
      </c>
      <c r="G321" s="4">
        <v>107641</v>
      </c>
      <c r="H321" s="4" t="s">
        <v>331</v>
      </c>
      <c r="I321" s="4" t="s">
        <v>332</v>
      </c>
      <c r="J321" s="4" t="s">
        <v>333</v>
      </c>
      <c r="K321" s="4" t="s">
        <v>334</v>
      </c>
      <c r="L321" s="4">
        <v>89.85</v>
      </c>
      <c r="M321" s="4">
        <v>89.85</v>
      </c>
      <c r="N321" s="5">
        <v>42840</v>
      </c>
      <c r="O321" s="4"/>
      <c r="P321" s="4" t="s">
        <v>68</v>
      </c>
    </row>
    <row r="322" spans="1:16">
      <c r="A322" s="4" t="s">
        <v>17</v>
      </c>
      <c r="B322" s="5">
        <v>42727</v>
      </c>
      <c r="C322" s="4" t="str">
        <f>"FC-2016-0036362-0"</f>
        <v>FC-2016-0036362-0</v>
      </c>
      <c r="D322" s="4">
        <v>58949435</v>
      </c>
      <c r="E322" s="5">
        <v>42748</v>
      </c>
      <c r="F322" s="4">
        <v>6774</v>
      </c>
      <c r="G322" s="4">
        <v>107374</v>
      </c>
      <c r="H322" s="4" t="s">
        <v>335</v>
      </c>
      <c r="I322" s="4">
        <v>3246871200</v>
      </c>
      <c r="J322" s="4" t="s">
        <v>336</v>
      </c>
      <c r="K322" s="4" t="s">
        <v>337</v>
      </c>
      <c r="L322" s="4">
        <v>54.9</v>
      </c>
      <c r="M322" s="4">
        <v>54.9</v>
      </c>
      <c r="N322" s="5">
        <v>42794</v>
      </c>
      <c r="O322" s="5">
        <v>44196</v>
      </c>
      <c r="P322" s="4" t="s">
        <v>59</v>
      </c>
    </row>
    <row r="323" spans="1:16">
      <c r="A323" s="4" t="s">
        <v>17</v>
      </c>
      <c r="B323" s="5">
        <v>42724</v>
      </c>
      <c r="C323" s="4" t="str">
        <f>"655/IEG"</f>
        <v>655/IEG</v>
      </c>
      <c r="D323" s="4">
        <v>58333289</v>
      </c>
      <c r="E323" s="5">
        <v>42752</v>
      </c>
      <c r="F323" s="4">
        <v>313</v>
      </c>
      <c r="G323" s="4">
        <v>8301</v>
      </c>
      <c r="H323" s="4" t="s">
        <v>28</v>
      </c>
      <c r="I323" s="4">
        <v>2410141200</v>
      </c>
      <c r="J323" s="4" t="s">
        <v>29</v>
      </c>
      <c r="K323" s="4" t="s">
        <v>338</v>
      </c>
      <c r="L323" s="6">
        <v>3038.15</v>
      </c>
      <c r="M323" s="6">
        <v>3038.15</v>
      </c>
      <c r="N323" s="5">
        <v>42766</v>
      </c>
      <c r="O323" s="5">
        <v>43528</v>
      </c>
      <c r="P323" s="4" t="s">
        <v>31</v>
      </c>
    </row>
    <row r="324" spans="1:16">
      <c r="A324" s="4" t="s">
        <v>45</v>
      </c>
      <c r="B324" s="5">
        <v>42718</v>
      </c>
      <c r="C324" s="4" t="str">
        <f>"004701756242"</f>
        <v>004701756242</v>
      </c>
      <c r="D324" s="4">
        <v>62684121</v>
      </c>
      <c r="E324" s="5">
        <v>42793</v>
      </c>
      <c r="F324" s="4">
        <v>1178</v>
      </c>
      <c r="G324" s="4">
        <v>5536</v>
      </c>
      <c r="H324" s="4" t="s">
        <v>339</v>
      </c>
      <c r="I324" s="4">
        <v>6655971007</v>
      </c>
      <c r="J324" s="4" t="s">
        <v>281</v>
      </c>
      <c r="K324" s="4"/>
      <c r="L324" s="4">
        <v>-499.47</v>
      </c>
      <c r="M324" s="4">
        <v>-409.4</v>
      </c>
      <c r="N324" s="4"/>
      <c r="O324" s="5">
        <v>44196</v>
      </c>
      <c r="P324" s="4" t="s">
        <v>283</v>
      </c>
    </row>
    <row r="325" spans="1:16">
      <c r="A325" s="4" t="s">
        <v>45</v>
      </c>
      <c r="B325" s="5">
        <v>42706</v>
      </c>
      <c r="C325" s="4" t="str">
        <f>"004701626994"</f>
        <v>004701626994</v>
      </c>
      <c r="D325" s="4">
        <v>56511930</v>
      </c>
      <c r="E325" s="5">
        <v>42723</v>
      </c>
      <c r="F325" s="4">
        <v>6573</v>
      </c>
      <c r="G325" s="4">
        <v>5536</v>
      </c>
      <c r="H325" s="4" t="s">
        <v>339</v>
      </c>
      <c r="I325" s="4">
        <v>6655971007</v>
      </c>
      <c r="J325" s="4" t="s">
        <v>281</v>
      </c>
      <c r="K325" s="4" t="s">
        <v>340</v>
      </c>
      <c r="L325" s="4">
        <v>-72.87</v>
      </c>
      <c r="M325" s="4">
        <v>-59.73</v>
      </c>
      <c r="N325" s="4"/>
      <c r="O325" s="5">
        <v>44196</v>
      </c>
      <c r="P325" s="4" t="s">
        <v>283</v>
      </c>
    </row>
    <row r="326" spans="1:16">
      <c r="A326" s="4" t="s">
        <v>17</v>
      </c>
      <c r="B326" s="5">
        <v>42671</v>
      </c>
      <c r="C326" s="4" t="str">
        <f>"00015/02"</f>
        <v>00015/02</v>
      </c>
      <c r="D326" s="4">
        <v>53419418</v>
      </c>
      <c r="E326" s="5">
        <v>42685</v>
      </c>
      <c r="F326" s="4">
        <v>5853</v>
      </c>
      <c r="G326" s="4">
        <v>6958</v>
      </c>
      <c r="H326" s="4" t="s">
        <v>341</v>
      </c>
      <c r="I326" s="4">
        <v>80006690384</v>
      </c>
      <c r="J326" s="4" t="s">
        <v>342</v>
      </c>
      <c r="K326" s="4" t="s">
        <v>343</v>
      </c>
      <c r="L326" s="6">
        <v>1557.47</v>
      </c>
      <c r="M326" s="6">
        <v>1557.47</v>
      </c>
      <c r="N326" s="5">
        <v>42701</v>
      </c>
      <c r="O326" s="5">
        <v>43634</v>
      </c>
      <c r="P326" s="4" t="s">
        <v>31</v>
      </c>
    </row>
    <row r="327" spans="1:16">
      <c r="A327" s="4" t="s">
        <v>17</v>
      </c>
      <c r="B327" s="5">
        <v>42664</v>
      </c>
      <c r="C327" s="4" t="str">
        <f>"N.I. 000005544"</f>
        <v>N.I. 000005544</v>
      </c>
      <c r="D327" s="4">
        <v>0</v>
      </c>
      <c r="E327" s="5">
        <v>42664</v>
      </c>
      <c r="F327" s="4">
        <v>5544</v>
      </c>
      <c r="G327" s="4">
        <v>7059</v>
      </c>
      <c r="H327" s="4" t="s">
        <v>344</v>
      </c>
      <c r="I327" s="4">
        <v>1623130380</v>
      </c>
      <c r="J327" s="4" t="s">
        <v>345</v>
      </c>
      <c r="K327" s="4" t="s">
        <v>346</v>
      </c>
      <c r="L327" s="6">
        <v>3500</v>
      </c>
      <c r="M327" s="6">
        <v>3500</v>
      </c>
      <c r="N327" s="5">
        <v>36892</v>
      </c>
      <c r="O327" s="5">
        <v>44196</v>
      </c>
      <c r="P327" s="4"/>
    </row>
    <row r="328" spans="1:16">
      <c r="A328" s="4" t="s">
        <v>45</v>
      </c>
      <c r="B328" s="5">
        <v>42664</v>
      </c>
      <c r="C328" s="4" t="str">
        <f>"S000013698"</f>
        <v>S000013698</v>
      </c>
      <c r="D328" s="4">
        <v>53002585</v>
      </c>
      <c r="E328" s="5">
        <v>42681</v>
      </c>
      <c r="F328" s="4">
        <v>5758</v>
      </c>
      <c r="G328" s="4">
        <v>7140</v>
      </c>
      <c r="H328" s="4" t="s">
        <v>306</v>
      </c>
      <c r="I328" s="4">
        <v>6832931007</v>
      </c>
      <c r="J328" s="4" t="s">
        <v>307</v>
      </c>
      <c r="K328" s="4" t="s">
        <v>347</v>
      </c>
      <c r="L328" s="4">
        <v>-32.18</v>
      </c>
      <c r="M328" s="4">
        <v>-26.38</v>
      </c>
      <c r="N328" s="4"/>
      <c r="O328" s="4"/>
      <c r="P328" s="4" t="s">
        <v>163</v>
      </c>
    </row>
    <row r="329" spans="1:16">
      <c r="A329" s="4" t="s">
        <v>45</v>
      </c>
      <c r="B329" s="5">
        <v>42664</v>
      </c>
      <c r="C329" s="4" t="str">
        <f>"S000013699"</f>
        <v>S000013699</v>
      </c>
      <c r="D329" s="4">
        <v>53002581</v>
      </c>
      <c r="E329" s="5">
        <v>42681</v>
      </c>
      <c r="F329" s="4">
        <v>5757</v>
      </c>
      <c r="G329" s="4">
        <v>7140</v>
      </c>
      <c r="H329" s="4" t="s">
        <v>306</v>
      </c>
      <c r="I329" s="4">
        <v>6832931007</v>
      </c>
      <c r="J329" s="4" t="s">
        <v>307</v>
      </c>
      <c r="K329" s="4" t="s">
        <v>348</v>
      </c>
      <c r="L329" s="4">
        <v>-110.14</v>
      </c>
      <c r="M329" s="4">
        <v>-97.86</v>
      </c>
      <c r="N329" s="4"/>
      <c r="O329" s="4"/>
      <c r="P329" s="4" t="s">
        <v>163</v>
      </c>
    </row>
    <row r="330" spans="1:16">
      <c r="A330" s="4" t="s">
        <v>45</v>
      </c>
      <c r="B330" s="5">
        <v>42664</v>
      </c>
      <c r="C330" s="4" t="str">
        <f>"S000013702"</f>
        <v>S000013702</v>
      </c>
      <c r="D330" s="4">
        <v>53002612</v>
      </c>
      <c r="E330" s="5">
        <v>42681</v>
      </c>
      <c r="F330" s="4">
        <v>5754</v>
      </c>
      <c r="G330" s="4">
        <v>7140</v>
      </c>
      <c r="H330" s="4" t="s">
        <v>306</v>
      </c>
      <c r="I330" s="4">
        <v>6832931007</v>
      </c>
      <c r="J330" s="4" t="s">
        <v>307</v>
      </c>
      <c r="K330" s="4" t="s">
        <v>349</v>
      </c>
      <c r="L330" s="4">
        <v>-483.79</v>
      </c>
      <c r="M330" s="4">
        <v>-396.55</v>
      </c>
      <c r="N330" s="4"/>
      <c r="O330" s="4"/>
      <c r="P330" s="4" t="s">
        <v>163</v>
      </c>
    </row>
    <row r="331" spans="1:16">
      <c r="A331" s="4" t="s">
        <v>45</v>
      </c>
      <c r="B331" s="5">
        <v>42664</v>
      </c>
      <c r="C331" s="4" t="str">
        <f>"S000013703"</f>
        <v>S000013703</v>
      </c>
      <c r="D331" s="4">
        <v>53002590</v>
      </c>
      <c r="E331" s="5">
        <v>42681</v>
      </c>
      <c r="F331" s="4">
        <v>5753</v>
      </c>
      <c r="G331" s="4">
        <v>7140</v>
      </c>
      <c r="H331" s="4" t="s">
        <v>306</v>
      </c>
      <c r="I331" s="4">
        <v>6832931007</v>
      </c>
      <c r="J331" s="4" t="s">
        <v>307</v>
      </c>
      <c r="K331" s="4" t="s">
        <v>350</v>
      </c>
      <c r="L331" s="4">
        <v>-36.69</v>
      </c>
      <c r="M331" s="4">
        <v>-15.9</v>
      </c>
      <c r="N331" s="4"/>
      <c r="O331" s="4"/>
      <c r="P331" s="4" t="s">
        <v>163</v>
      </c>
    </row>
    <row r="332" spans="1:16">
      <c r="A332" s="4" t="s">
        <v>45</v>
      </c>
      <c r="B332" s="5">
        <v>42664</v>
      </c>
      <c r="C332" s="4" t="str">
        <f>"S000013704"</f>
        <v>S000013704</v>
      </c>
      <c r="D332" s="4">
        <v>53002687</v>
      </c>
      <c r="E332" s="5">
        <v>42674</v>
      </c>
      <c r="F332" s="4">
        <v>5684</v>
      </c>
      <c r="G332" s="4">
        <v>7140</v>
      </c>
      <c r="H332" s="4" t="s">
        <v>306</v>
      </c>
      <c r="I332" s="4">
        <v>6832931007</v>
      </c>
      <c r="J332" s="4" t="s">
        <v>307</v>
      </c>
      <c r="K332" s="4" t="s">
        <v>348</v>
      </c>
      <c r="L332" s="4">
        <v>-70.02</v>
      </c>
      <c r="M332" s="4">
        <v>-50</v>
      </c>
      <c r="N332" s="4"/>
      <c r="O332" s="4"/>
      <c r="P332" s="4" t="s">
        <v>163</v>
      </c>
    </row>
    <row r="333" spans="1:16">
      <c r="A333" s="4" t="s">
        <v>45</v>
      </c>
      <c r="B333" s="5">
        <v>42664</v>
      </c>
      <c r="C333" s="4" t="str">
        <f>"S000013705"</f>
        <v>S000013705</v>
      </c>
      <c r="D333" s="4">
        <v>53002652</v>
      </c>
      <c r="E333" s="5">
        <v>42674</v>
      </c>
      <c r="F333" s="4">
        <v>5683</v>
      </c>
      <c r="G333" s="4">
        <v>7140</v>
      </c>
      <c r="H333" s="4" t="s">
        <v>306</v>
      </c>
      <c r="I333" s="4">
        <v>6832931007</v>
      </c>
      <c r="J333" s="4" t="s">
        <v>307</v>
      </c>
      <c r="K333" s="4" t="s">
        <v>348</v>
      </c>
      <c r="L333" s="4">
        <v>-116.25</v>
      </c>
      <c r="M333" s="4">
        <v>-102.64</v>
      </c>
      <c r="N333" s="4"/>
      <c r="O333" s="4"/>
      <c r="P333" s="4" t="s">
        <v>163</v>
      </c>
    </row>
    <row r="334" spans="1:16">
      <c r="A334" s="4" t="s">
        <v>45</v>
      </c>
      <c r="B334" s="5">
        <v>42664</v>
      </c>
      <c r="C334" s="4" t="str">
        <f>"S000013706"</f>
        <v>S000013706</v>
      </c>
      <c r="D334" s="4">
        <v>53002684</v>
      </c>
      <c r="E334" s="5">
        <v>42674</v>
      </c>
      <c r="F334" s="4">
        <v>5668</v>
      </c>
      <c r="G334" s="4">
        <v>7140</v>
      </c>
      <c r="H334" s="4" t="s">
        <v>306</v>
      </c>
      <c r="I334" s="4">
        <v>6832931007</v>
      </c>
      <c r="J334" s="4" t="s">
        <v>307</v>
      </c>
      <c r="K334" s="4" t="s">
        <v>351</v>
      </c>
      <c r="L334" s="4">
        <v>-69.55</v>
      </c>
      <c r="M334" s="4">
        <v>-49.94</v>
      </c>
      <c r="N334" s="4"/>
      <c r="O334" s="4"/>
      <c r="P334" s="4" t="s">
        <v>163</v>
      </c>
    </row>
    <row r="335" spans="1:16">
      <c r="A335" s="4" t="s">
        <v>45</v>
      </c>
      <c r="B335" s="5">
        <v>42664</v>
      </c>
      <c r="C335" s="4" t="str">
        <f>"S000013708"</f>
        <v>S000013708</v>
      </c>
      <c r="D335" s="4">
        <v>53002685</v>
      </c>
      <c r="E335" s="5">
        <v>42669</v>
      </c>
      <c r="F335" s="4">
        <v>5590</v>
      </c>
      <c r="G335" s="4">
        <v>7140</v>
      </c>
      <c r="H335" s="4" t="s">
        <v>306</v>
      </c>
      <c r="I335" s="4">
        <v>6832931007</v>
      </c>
      <c r="J335" s="4" t="s">
        <v>307</v>
      </c>
      <c r="K335" s="4" t="s">
        <v>352</v>
      </c>
      <c r="L335" s="4">
        <v>-88.88</v>
      </c>
      <c r="M335" s="4">
        <v>-72.849999999999994</v>
      </c>
      <c r="N335" s="4"/>
      <c r="O335" s="4"/>
      <c r="P335" s="4" t="s">
        <v>163</v>
      </c>
    </row>
    <row r="336" spans="1:16">
      <c r="A336" s="4" t="s">
        <v>45</v>
      </c>
      <c r="B336" s="5">
        <v>42664</v>
      </c>
      <c r="C336" s="4" t="str">
        <f>"S000013710"</f>
        <v>S000013710</v>
      </c>
      <c r="D336" s="4">
        <v>53002668</v>
      </c>
      <c r="E336" s="5">
        <v>42669</v>
      </c>
      <c r="F336" s="4">
        <v>5589</v>
      </c>
      <c r="G336" s="4">
        <v>7140</v>
      </c>
      <c r="H336" s="4" t="s">
        <v>306</v>
      </c>
      <c r="I336" s="4">
        <v>6832931007</v>
      </c>
      <c r="J336" s="4" t="s">
        <v>307</v>
      </c>
      <c r="K336" s="4" t="s">
        <v>353</v>
      </c>
      <c r="L336" s="4">
        <v>-97.81</v>
      </c>
      <c r="M336" s="4">
        <v>-89.11</v>
      </c>
      <c r="N336" s="4"/>
      <c r="O336" s="4"/>
      <c r="P336" s="4" t="s">
        <v>163</v>
      </c>
    </row>
    <row r="337" spans="1:16">
      <c r="A337" s="4" t="s">
        <v>45</v>
      </c>
      <c r="B337" s="5">
        <v>42664</v>
      </c>
      <c r="C337" s="4" t="str">
        <f>"S000013712"</f>
        <v>S000013712</v>
      </c>
      <c r="D337" s="4">
        <v>53002688</v>
      </c>
      <c r="E337" s="5">
        <v>42669</v>
      </c>
      <c r="F337" s="4">
        <v>5588</v>
      </c>
      <c r="G337" s="4">
        <v>7140</v>
      </c>
      <c r="H337" s="4" t="s">
        <v>306</v>
      </c>
      <c r="I337" s="4">
        <v>6832931007</v>
      </c>
      <c r="J337" s="4" t="s">
        <v>307</v>
      </c>
      <c r="K337" s="4" t="s">
        <v>354</v>
      </c>
      <c r="L337" s="4">
        <v>-122.59</v>
      </c>
      <c r="M337" s="4">
        <v>-100.48</v>
      </c>
      <c r="N337" s="4"/>
      <c r="O337" s="4"/>
      <c r="P337" s="4" t="s">
        <v>163</v>
      </c>
    </row>
    <row r="338" spans="1:16">
      <c r="A338" s="4" t="s">
        <v>45</v>
      </c>
      <c r="B338" s="5">
        <v>42664</v>
      </c>
      <c r="C338" s="4" t="str">
        <f>"S000013715"</f>
        <v>S000013715</v>
      </c>
      <c r="D338" s="4">
        <v>53002713</v>
      </c>
      <c r="E338" s="5">
        <v>42669</v>
      </c>
      <c r="F338" s="4">
        <v>5587</v>
      </c>
      <c r="G338" s="4">
        <v>7140</v>
      </c>
      <c r="H338" s="4" t="s">
        <v>306</v>
      </c>
      <c r="I338" s="4">
        <v>6832931007</v>
      </c>
      <c r="J338" s="4" t="s">
        <v>307</v>
      </c>
      <c r="K338" s="4" t="s">
        <v>355</v>
      </c>
      <c r="L338" s="4">
        <v>-486.63</v>
      </c>
      <c r="M338" s="4">
        <v>-398.87</v>
      </c>
      <c r="N338" s="4"/>
      <c r="O338" s="4"/>
      <c r="P338" s="4" t="s">
        <v>163</v>
      </c>
    </row>
    <row r="339" spans="1:16">
      <c r="A339" s="4" t="s">
        <v>45</v>
      </c>
      <c r="B339" s="5">
        <v>42664</v>
      </c>
      <c r="C339" s="4" t="str">
        <f>"S000013717"</f>
        <v>S000013717</v>
      </c>
      <c r="D339" s="4">
        <v>53002565</v>
      </c>
      <c r="E339" s="5">
        <v>42669</v>
      </c>
      <c r="F339" s="4">
        <v>5586</v>
      </c>
      <c r="G339" s="4">
        <v>7140</v>
      </c>
      <c r="H339" s="4" t="s">
        <v>306</v>
      </c>
      <c r="I339" s="4">
        <v>6832931007</v>
      </c>
      <c r="J339" s="4" t="s">
        <v>307</v>
      </c>
      <c r="K339" s="4" t="s">
        <v>356</v>
      </c>
      <c r="L339" s="4">
        <v>-510.86</v>
      </c>
      <c r="M339" s="4">
        <v>-418.74</v>
      </c>
      <c r="N339" s="4"/>
      <c r="O339" s="4"/>
      <c r="P339" s="4" t="s">
        <v>163</v>
      </c>
    </row>
    <row r="340" spans="1:16">
      <c r="A340" s="4" t="s">
        <v>45</v>
      </c>
      <c r="B340" s="5">
        <v>42649</v>
      </c>
      <c r="C340" s="4" t="str">
        <f>"8H00940744"</f>
        <v>8H00940744</v>
      </c>
      <c r="D340" s="4">
        <v>52486150</v>
      </c>
      <c r="E340" s="5">
        <v>42678</v>
      </c>
      <c r="F340" s="4">
        <v>5742</v>
      </c>
      <c r="G340" s="4">
        <v>2386</v>
      </c>
      <c r="H340" s="4" t="s">
        <v>314</v>
      </c>
      <c r="I340" s="4">
        <v>488410010</v>
      </c>
      <c r="J340" s="4" t="s">
        <v>315</v>
      </c>
      <c r="K340" s="4" t="s">
        <v>357</v>
      </c>
      <c r="L340" s="4">
        <v>-40.51</v>
      </c>
      <c r="M340" s="4">
        <v>-60.81</v>
      </c>
      <c r="N340" s="4"/>
      <c r="O340" s="5">
        <v>44196</v>
      </c>
      <c r="P340" s="4" t="s">
        <v>163</v>
      </c>
    </row>
    <row r="341" spans="1:16">
      <c r="A341" s="4" t="s">
        <v>45</v>
      </c>
      <c r="B341" s="5">
        <v>42649</v>
      </c>
      <c r="C341" s="4" t="str">
        <f>"8H00943915"</f>
        <v>8H00943915</v>
      </c>
      <c r="D341" s="4">
        <v>52486171</v>
      </c>
      <c r="E341" s="5">
        <v>42678</v>
      </c>
      <c r="F341" s="4">
        <v>5737</v>
      </c>
      <c r="G341" s="4">
        <v>2386</v>
      </c>
      <c r="H341" s="4" t="s">
        <v>314</v>
      </c>
      <c r="I341" s="4">
        <v>488410010</v>
      </c>
      <c r="J341" s="4" t="s">
        <v>315</v>
      </c>
      <c r="K341" s="4" t="s">
        <v>358</v>
      </c>
      <c r="L341" s="4">
        <v>-8.67</v>
      </c>
      <c r="M341" s="4">
        <v>-7.1</v>
      </c>
      <c r="N341" s="4"/>
      <c r="O341" s="5">
        <v>44196</v>
      </c>
      <c r="P341" s="4" t="s">
        <v>163</v>
      </c>
    </row>
    <row r="342" spans="1:16">
      <c r="A342" s="4" t="s">
        <v>45</v>
      </c>
      <c r="B342" s="5">
        <v>42587</v>
      </c>
      <c r="C342" s="4" t="str">
        <f>"8H00744276"</f>
        <v>8H00744276</v>
      </c>
      <c r="D342" s="4">
        <v>47504403</v>
      </c>
      <c r="E342" s="5">
        <v>42601</v>
      </c>
      <c r="F342" s="4">
        <v>4532</v>
      </c>
      <c r="G342" s="4">
        <v>2386</v>
      </c>
      <c r="H342" s="4" t="s">
        <v>314</v>
      </c>
      <c r="I342" s="4">
        <v>488410010</v>
      </c>
      <c r="J342" s="4" t="s">
        <v>315</v>
      </c>
      <c r="K342" s="4" t="s">
        <v>359</v>
      </c>
      <c r="L342" s="4">
        <v>-144.28</v>
      </c>
      <c r="M342" s="4">
        <v>-144.28</v>
      </c>
      <c r="N342" s="4"/>
      <c r="O342" s="5">
        <v>44196</v>
      </c>
      <c r="P342" s="4" t="s">
        <v>163</v>
      </c>
    </row>
    <row r="343" spans="1:16">
      <c r="A343" s="4" t="s">
        <v>45</v>
      </c>
      <c r="B343" s="5">
        <v>42557</v>
      </c>
      <c r="C343" s="4" t="str">
        <f>"301680054960"</f>
        <v>301680054960</v>
      </c>
      <c r="D343" s="4">
        <v>44545309</v>
      </c>
      <c r="E343" s="5">
        <v>42562</v>
      </c>
      <c r="F343" s="4">
        <v>3900</v>
      </c>
      <c r="G343" s="4">
        <v>1925</v>
      </c>
      <c r="H343" s="4" t="s">
        <v>360</v>
      </c>
      <c r="I343" s="4">
        <v>488410010</v>
      </c>
      <c r="J343" s="4" t="s">
        <v>315</v>
      </c>
      <c r="K343" s="4" t="s">
        <v>361</v>
      </c>
      <c r="L343" s="4">
        <v>-24.12</v>
      </c>
      <c r="M343" s="4">
        <v>-20.13</v>
      </c>
      <c r="N343" s="4"/>
      <c r="O343" s="5">
        <v>44196</v>
      </c>
      <c r="P343" s="4" t="s">
        <v>163</v>
      </c>
    </row>
    <row r="344" spans="1:16">
      <c r="A344" s="4" t="s">
        <v>45</v>
      </c>
      <c r="B344" s="5">
        <v>42557</v>
      </c>
      <c r="C344" s="4" t="str">
        <f>"301680054963"</f>
        <v>301680054963</v>
      </c>
      <c r="D344" s="4">
        <v>44545268</v>
      </c>
      <c r="E344" s="5">
        <v>42566</v>
      </c>
      <c r="F344" s="4">
        <v>4052</v>
      </c>
      <c r="G344" s="4">
        <v>1925</v>
      </c>
      <c r="H344" s="4" t="s">
        <v>360</v>
      </c>
      <c r="I344" s="4">
        <v>488410010</v>
      </c>
      <c r="J344" s="4" t="s">
        <v>315</v>
      </c>
      <c r="K344" s="4" t="s">
        <v>362</v>
      </c>
      <c r="L344" s="4">
        <v>-43.25</v>
      </c>
      <c r="M344" s="4">
        <v>-35.81</v>
      </c>
      <c r="N344" s="4"/>
      <c r="O344" s="5">
        <v>44196</v>
      </c>
      <c r="P344" s="4" t="s">
        <v>163</v>
      </c>
    </row>
    <row r="345" spans="1:16">
      <c r="A345" s="4" t="s">
        <v>45</v>
      </c>
      <c r="B345" s="5">
        <v>42557</v>
      </c>
      <c r="C345" s="4" t="str">
        <f>"301680054964"</f>
        <v>301680054964</v>
      </c>
      <c r="D345" s="4">
        <v>44545440</v>
      </c>
      <c r="E345" s="5">
        <v>42566</v>
      </c>
      <c r="F345" s="4">
        <v>4051</v>
      </c>
      <c r="G345" s="4">
        <v>1925</v>
      </c>
      <c r="H345" s="4" t="s">
        <v>360</v>
      </c>
      <c r="I345" s="4">
        <v>488410010</v>
      </c>
      <c r="J345" s="4" t="s">
        <v>315</v>
      </c>
      <c r="K345" s="4" t="s">
        <v>363</v>
      </c>
      <c r="L345" s="4">
        <v>-42.65</v>
      </c>
      <c r="M345" s="4">
        <v>-35.32</v>
      </c>
      <c r="N345" s="4"/>
      <c r="O345" s="5">
        <v>44196</v>
      </c>
      <c r="P345" s="4" t="s">
        <v>163</v>
      </c>
    </row>
    <row r="346" spans="1:16">
      <c r="A346" s="4" t="s">
        <v>45</v>
      </c>
      <c r="B346" s="5">
        <v>42557</v>
      </c>
      <c r="C346" s="4" t="str">
        <f>"301680054966"</f>
        <v>301680054966</v>
      </c>
      <c r="D346" s="4">
        <v>44545352</v>
      </c>
      <c r="E346" s="5">
        <v>42566</v>
      </c>
      <c r="F346" s="4">
        <v>4050</v>
      </c>
      <c r="G346" s="4">
        <v>1925</v>
      </c>
      <c r="H346" s="4" t="s">
        <v>360</v>
      </c>
      <c r="I346" s="4">
        <v>488410010</v>
      </c>
      <c r="J346" s="4" t="s">
        <v>315</v>
      </c>
      <c r="K346" s="4" t="s">
        <v>364</v>
      </c>
      <c r="L346" s="4">
        <v>-41.45</v>
      </c>
      <c r="M346" s="4">
        <v>-34.340000000000003</v>
      </c>
      <c r="N346" s="4"/>
      <c r="O346" s="5">
        <v>44196</v>
      </c>
      <c r="P346" s="4" t="s">
        <v>163</v>
      </c>
    </row>
    <row r="347" spans="1:16">
      <c r="A347" s="4" t="s">
        <v>45</v>
      </c>
      <c r="B347" s="5">
        <v>42557</v>
      </c>
      <c r="C347" s="4" t="str">
        <f>"301680054969"</f>
        <v>301680054969</v>
      </c>
      <c r="D347" s="4">
        <v>44545386</v>
      </c>
      <c r="E347" s="5">
        <v>42566</v>
      </c>
      <c r="F347" s="4">
        <v>4049</v>
      </c>
      <c r="G347" s="4">
        <v>1925</v>
      </c>
      <c r="H347" s="4" t="s">
        <v>360</v>
      </c>
      <c r="I347" s="4">
        <v>488410010</v>
      </c>
      <c r="J347" s="4" t="s">
        <v>315</v>
      </c>
      <c r="K347" s="4" t="s">
        <v>365</v>
      </c>
      <c r="L347" s="4">
        <v>-17.54</v>
      </c>
      <c r="M347" s="4">
        <v>-14.74</v>
      </c>
      <c r="N347" s="4"/>
      <c r="O347" s="5">
        <v>44196</v>
      </c>
      <c r="P347" s="4" t="s">
        <v>163</v>
      </c>
    </row>
    <row r="348" spans="1:16">
      <c r="A348" s="4" t="s">
        <v>45</v>
      </c>
      <c r="B348" s="5">
        <v>42557</v>
      </c>
      <c r="C348" s="4" t="str">
        <f>"301680054971"</f>
        <v>301680054971</v>
      </c>
      <c r="D348" s="4">
        <v>44545308</v>
      </c>
      <c r="E348" s="5">
        <v>42566</v>
      </c>
      <c r="F348" s="4">
        <v>4048</v>
      </c>
      <c r="G348" s="4">
        <v>1925</v>
      </c>
      <c r="H348" s="4" t="s">
        <v>360</v>
      </c>
      <c r="I348" s="4">
        <v>488410010</v>
      </c>
      <c r="J348" s="4" t="s">
        <v>315</v>
      </c>
      <c r="K348" s="4" t="s">
        <v>366</v>
      </c>
      <c r="L348" s="4">
        <v>-23.42</v>
      </c>
      <c r="M348" s="4">
        <v>-19.559999999999999</v>
      </c>
      <c r="N348" s="4"/>
      <c r="O348" s="5">
        <v>44196</v>
      </c>
      <c r="P348" s="4" t="s">
        <v>163</v>
      </c>
    </row>
    <row r="349" spans="1:16">
      <c r="A349" s="4" t="s">
        <v>45</v>
      </c>
      <c r="B349" s="5">
        <v>42557</v>
      </c>
      <c r="C349" s="4" t="str">
        <f>"301680054974"</f>
        <v>301680054974</v>
      </c>
      <c r="D349" s="4">
        <v>44545293</v>
      </c>
      <c r="E349" s="5">
        <v>42566</v>
      </c>
      <c r="F349" s="4">
        <v>4047</v>
      </c>
      <c r="G349" s="4">
        <v>1925</v>
      </c>
      <c r="H349" s="4" t="s">
        <v>360</v>
      </c>
      <c r="I349" s="4">
        <v>488410010</v>
      </c>
      <c r="J349" s="4" t="s">
        <v>315</v>
      </c>
      <c r="K349" s="4" t="s">
        <v>367</v>
      </c>
      <c r="L349" s="4">
        <v>-33.4</v>
      </c>
      <c r="M349" s="4">
        <v>-27.74</v>
      </c>
      <c r="N349" s="4"/>
      <c r="O349" s="4"/>
      <c r="P349" s="4" t="s">
        <v>163</v>
      </c>
    </row>
    <row r="350" spans="1:16">
      <c r="A350" s="4" t="s">
        <v>45</v>
      </c>
      <c r="B350" s="5">
        <v>42556</v>
      </c>
      <c r="C350" s="4" t="str">
        <f>"3321-16"</f>
        <v>3321-16</v>
      </c>
      <c r="D350" s="4">
        <v>44265388</v>
      </c>
      <c r="E350" s="5">
        <v>42577</v>
      </c>
      <c r="F350" s="4">
        <v>4209</v>
      </c>
      <c r="G350" s="4">
        <v>8226</v>
      </c>
      <c r="H350" s="4" t="s">
        <v>368</v>
      </c>
      <c r="I350" s="4">
        <v>8376630151</v>
      </c>
      <c r="J350" s="4" t="s">
        <v>369</v>
      </c>
      <c r="K350" s="4" t="s">
        <v>370</v>
      </c>
      <c r="L350" s="4">
        <v>-303.77999999999997</v>
      </c>
      <c r="M350" s="4">
        <v>-249</v>
      </c>
      <c r="N350" s="4"/>
      <c r="O350" s="5">
        <v>44196</v>
      </c>
      <c r="P350" s="4" t="s">
        <v>140</v>
      </c>
    </row>
    <row r="351" spans="1:16">
      <c r="A351" s="4" t="s">
        <v>45</v>
      </c>
      <c r="B351" s="5">
        <v>42551</v>
      </c>
      <c r="C351" s="4" t="str">
        <f>"916 /FE"</f>
        <v>916 /FE</v>
      </c>
      <c r="D351" s="4">
        <v>47051277</v>
      </c>
      <c r="E351" s="5">
        <v>42611</v>
      </c>
      <c r="F351" s="4">
        <v>4638</v>
      </c>
      <c r="G351" s="4">
        <v>4003</v>
      </c>
      <c r="H351" s="4" t="s">
        <v>303</v>
      </c>
      <c r="I351" s="4">
        <v>463980383</v>
      </c>
      <c r="J351" s="4" t="s">
        <v>304</v>
      </c>
      <c r="K351" s="4" t="s">
        <v>371</v>
      </c>
      <c r="L351" s="6">
        <v>-1841.76</v>
      </c>
      <c r="M351" s="6">
        <v>-1841.76</v>
      </c>
      <c r="N351" s="5">
        <v>42620</v>
      </c>
      <c r="O351" s="5">
        <v>42667</v>
      </c>
      <c r="P351" s="4" t="s">
        <v>31</v>
      </c>
    </row>
    <row r="352" spans="1:16">
      <c r="A352" s="4" t="s">
        <v>17</v>
      </c>
      <c r="B352" s="5">
        <v>42536</v>
      </c>
      <c r="C352" s="4" t="str">
        <f>"CXG 2"</f>
        <v>CXG 2</v>
      </c>
      <c r="D352" s="4">
        <v>43073955</v>
      </c>
      <c r="E352" s="5">
        <v>42559</v>
      </c>
      <c r="F352" s="4">
        <v>3888</v>
      </c>
      <c r="G352" s="4">
        <v>1778</v>
      </c>
      <c r="H352" s="4" t="s">
        <v>131</v>
      </c>
      <c r="I352" s="4">
        <v>40220386</v>
      </c>
      <c r="J352" s="4" t="s">
        <v>132</v>
      </c>
      <c r="K352" s="4" t="s">
        <v>372</v>
      </c>
      <c r="L352" s="4">
        <v>16.46</v>
      </c>
      <c r="M352" s="4">
        <v>16.46</v>
      </c>
      <c r="N352" s="5">
        <v>42582</v>
      </c>
      <c r="O352" s="5">
        <v>44196</v>
      </c>
      <c r="P352" s="4" t="s">
        <v>373</v>
      </c>
    </row>
    <row r="353" spans="1:16">
      <c r="A353" s="4" t="s">
        <v>45</v>
      </c>
      <c r="B353" s="5">
        <v>42528</v>
      </c>
      <c r="C353" s="4" t="str">
        <f>"8H00543145"</f>
        <v>8H00543145</v>
      </c>
      <c r="D353" s="4">
        <v>42667715</v>
      </c>
      <c r="E353" s="5">
        <v>42550</v>
      </c>
      <c r="F353" s="4">
        <v>3714</v>
      </c>
      <c r="G353" s="4">
        <v>2386</v>
      </c>
      <c r="H353" s="4" t="s">
        <v>314</v>
      </c>
      <c r="I353" s="4">
        <v>488410010</v>
      </c>
      <c r="J353" s="4" t="s">
        <v>315</v>
      </c>
      <c r="K353" s="4" t="s">
        <v>374</v>
      </c>
      <c r="L353" s="4">
        <v>-144.28</v>
      </c>
      <c r="M353" s="4">
        <v>-144.28</v>
      </c>
      <c r="N353" s="4"/>
      <c r="O353" s="5">
        <v>44196</v>
      </c>
      <c r="P353" s="4" t="s">
        <v>163</v>
      </c>
    </row>
    <row r="354" spans="1:16">
      <c r="A354" s="4" t="s">
        <v>45</v>
      </c>
      <c r="B354" s="5">
        <v>42466</v>
      </c>
      <c r="C354" s="4" t="str">
        <f>"8H00348129"</f>
        <v>8H00348129</v>
      </c>
      <c r="D354" s="4">
        <v>37073046</v>
      </c>
      <c r="E354" s="5">
        <v>42521</v>
      </c>
      <c r="F354" s="4">
        <v>3107</v>
      </c>
      <c r="G354" s="4">
        <v>2386</v>
      </c>
      <c r="H354" s="4" t="s">
        <v>314</v>
      </c>
      <c r="I354" s="4">
        <v>488410010</v>
      </c>
      <c r="J354" s="4" t="s">
        <v>315</v>
      </c>
      <c r="K354" s="4" t="s">
        <v>375</v>
      </c>
      <c r="L354" s="4">
        <v>-144.28</v>
      </c>
      <c r="M354" s="4">
        <v>-144.28</v>
      </c>
      <c r="N354" s="4"/>
      <c r="O354" s="5">
        <v>44196</v>
      </c>
      <c r="P354" s="4" t="s">
        <v>163</v>
      </c>
    </row>
    <row r="355" spans="1:16">
      <c r="A355" s="4" t="s">
        <v>45</v>
      </c>
      <c r="B355" s="5">
        <v>42405</v>
      </c>
      <c r="C355" s="4" t="str">
        <f>"8H00128077"</f>
        <v>8H00128077</v>
      </c>
      <c r="D355" s="4">
        <v>31531398</v>
      </c>
      <c r="E355" s="5">
        <v>42425</v>
      </c>
      <c r="F355" s="4">
        <v>829</v>
      </c>
      <c r="G355" s="4">
        <v>2386</v>
      </c>
      <c r="H355" s="4" t="s">
        <v>314</v>
      </c>
      <c r="I355" s="4">
        <v>488410010</v>
      </c>
      <c r="J355" s="4" t="s">
        <v>315</v>
      </c>
      <c r="K355" s="4" t="s">
        <v>284</v>
      </c>
      <c r="L355" s="4">
        <v>-144.28</v>
      </c>
      <c r="M355" s="4">
        <v>-144.28</v>
      </c>
      <c r="N355" s="4"/>
      <c r="O355" s="5">
        <v>44196</v>
      </c>
      <c r="P355" s="4" t="s">
        <v>163</v>
      </c>
    </row>
    <row r="356" spans="1:16">
      <c r="A356" s="4" t="s">
        <v>45</v>
      </c>
      <c r="B356" s="5">
        <v>42405</v>
      </c>
      <c r="C356" s="4" t="str">
        <f>"411600882323"</f>
        <v>411600882323</v>
      </c>
      <c r="D356" s="4">
        <v>30740597</v>
      </c>
      <c r="E356" s="5">
        <v>42425</v>
      </c>
      <c r="F356" s="4">
        <v>865</v>
      </c>
      <c r="G356" s="4">
        <v>105264</v>
      </c>
      <c r="H356" s="4" t="s">
        <v>299</v>
      </c>
      <c r="I356" s="4">
        <v>2221101203</v>
      </c>
      <c r="J356" s="4" t="s">
        <v>226</v>
      </c>
      <c r="K356" s="4" t="s">
        <v>300</v>
      </c>
      <c r="L356" s="4">
        <v>-46.78</v>
      </c>
      <c r="M356" s="4">
        <v>-39.020000000000003</v>
      </c>
      <c r="N356" s="4"/>
      <c r="O356" s="5">
        <v>44196</v>
      </c>
      <c r="P356" s="4" t="s">
        <v>163</v>
      </c>
    </row>
    <row r="357" spans="1:16">
      <c r="A357" s="4" t="s">
        <v>45</v>
      </c>
      <c r="B357" s="5">
        <v>42369</v>
      </c>
      <c r="C357" s="4" t="str">
        <f>"1809/D"</f>
        <v>1809/D</v>
      </c>
      <c r="D357" s="4">
        <v>28950512</v>
      </c>
      <c r="E357" s="5">
        <v>42394</v>
      </c>
      <c r="F357" s="4">
        <v>353</v>
      </c>
      <c r="G357" s="4">
        <v>4475</v>
      </c>
      <c r="H357" s="4" t="s">
        <v>239</v>
      </c>
      <c r="I357" s="4">
        <v>915090393</v>
      </c>
      <c r="J357" s="4" t="s">
        <v>240</v>
      </c>
      <c r="K357" s="4" t="s">
        <v>241</v>
      </c>
      <c r="L357" s="6">
        <v>-1431.05</v>
      </c>
      <c r="M357" s="6">
        <v>-1376.01</v>
      </c>
      <c r="N357" s="4"/>
      <c r="O357" s="5">
        <v>44196</v>
      </c>
      <c r="P357" s="4" t="s">
        <v>31</v>
      </c>
    </row>
    <row r="358" spans="1:16">
      <c r="A358" s="4" t="s">
        <v>45</v>
      </c>
      <c r="B358" s="5">
        <v>42359</v>
      </c>
      <c r="C358" s="4" t="str">
        <f>"004601399215"</f>
        <v>004601399215</v>
      </c>
      <c r="D358" s="4">
        <v>30262227</v>
      </c>
      <c r="E358" s="5">
        <v>42425</v>
      </c>
      <c r="F358" s="4">
        <v>821</v>
      </c>
      <c r="G358" s="4">
        <v>5536</v>
      </c>
      <c r="H358" s="4" t="s">
        <v>339</v>
      </c>
      <c r="I358" s="4">
        <v>6655971007</v>
      </c>
      <c r="J358" s="4" t="s">
        <v>281</v>
      </c>
      <c r="K358" s="4" t="s">
        <v>284</v>
      </c>
      <c r="L358" s="4">
        <v>-50.07</v>
      </c>
      <c r="M358" s="4">
        <v>-50.07</v>
      </c>
      <c r="N358" s="4"/>
      <c r="O358" s="5">
        <v>44196</v>
      </c>
      <c r="P358" s="4" t="s">
        <v>283</v>
      </c>
    </row>
    <row r="359" spans="1:16">
      <c r="A359" s="4" t="s">
        <v>17</v>
      </c>
      <c r="B359" s="5">
        <v>42345</v>
      </c>
      <c r="C359" s="4" t="str">
        <f>"4S109"</f>
        <v>4S109</v>
      </c>
      <c r="D359" s="4">
        <v>25692196</v>
      </c>
      <c r="E359" s="5">
        <v>42354</v>
      </c>
      <c r="F359" s="4">
        <v>6105</v>
      </c>
      <c r="G359" s="4">
        <v>495</v>
      </c>
      <c r="H359" s="4" t="s">
        <v>376</v>
      </c>
      <c r="I359" s="4">
        <v>162660369</v>
      </c>
      <c r="J359" s="4" t="s">
        <v>377</v>
      </c>
      <c r="K359" s="4" t="s">
        <v>378</v>
      </c>
      <c r="L359" s="4">
        <v>19.68</v>
      </c>
      <c r="M359" s="4">
        <v>19.68</v>
      </c>
      <c r="N359" s="5">
        <v>42435</v>
      </c>
      <c r="O359" s="4"/>
      <c r="P359" s="4" t="s">
        <v>68</v>
      </c>
    </row>
    <row r="360" spans="1:16">
      <c r="A360" s="4" t="s">
        <v>45</v>
      </c>
      <c r="B360" s="5">
        <v>42345</v>
      </c>
      <c r="C360" s="4" t="str">
        <f>"8H01240475"</f>
        <v>8H01240475</v>
      </c>
      <c r="D360" s="4">
        <v>26481603</v>
      </c>
      <c r="E360" s="5">
        <v>42369</v>
      </c>
      <c r="F360" s="4">
        <v>6338</v>
      </c>
      <c r="G360" s="4">
        <v>2386</v>
      </c>
      <c r="H360" s="4" t="s">
        <v>314</v>
      </c>
      <c r="I360" s="4">
        <v>488410010</v>
      </c>
      <c r="J360" s="4" t="s">
        <v>315</v>
      </c>
      <c r="K360" s="4" t="s">
        <v>379</v>
      </c>
      <c r="L360" s="4">
        <v>-144.28</v>
      </c>
      <c r="M360" s="4">
        <v>-144.28</v>
      </c>
      <c r="N360" s="4"/>
      <c r="O360" s="5">
        <v>44196</v>
      </c>
      <c r="P360" s="4" t="s">
        <v>163</v>
      </c>
    </row>
    <row r="361" spans="1:16">
      <c r="A361" s="4" t="s">
        <v>45</v>
      </c>
      <c r="B361" s="5">
        <v>42341</v>
      </c>
      <c r="C361" s="4" t="str">
        <f>"1920002064"</f>
        <v>1920002064</v>
      </c>
      <c r="D361" s="4">
        <v>25129100</v>
      </c>
      <c r="E361" s="5">
        <v>42354</v>
      </c>
      <c r="F361" s="4">
        <v>6119</v>
      </c>
      <c r="G361" s="4">
        <v>2462</v>
      </c>
      <c r="H361" s="4" t="s">
        <v>380</v>
      </c>
      <c r="I361" s="4">
        <v>3270040961</v>
      </c>
      <c r="J361" s="4" t="s">
        <v>381</v>
      </c>
      <c r="K361" s="4" t="s">
        <v>382</v>
      </c>
      <c r="L361" s="4">
        <v>-33.549999999999997</v>
      </c>
      <c r="M361" s="4">
        <v>-27.5</v>
      </c>
      <c r="N361" s="4"/>
      <c r="O361" s="5">
        <v>44196</v>
      </c>
      <c r="P361" s="4" t="s">
        <v>39</v>
      </c>
    </row>
    <row r="362" spans="1:16">
      <c r="A362" s="4" t="s">
        <v>17</v>
      </c>
      <c r="B362" s="5">
        <v>42304</v>
      </c>
      <c r="C362" s="4" t="str">
        <f>"0000915900003926"</f>
        <v>0000915900003926</v>
      </c>
      <c r="D362" s="4">
        <v>21425515</v>
      </c>
      <c r="E362" s="5">
        <v>42317</v>
      </c>
      <c r="F362" s="4">
        <v>5448</v>
      </c>
      <c r="G362" s="4">
        <v>2729</v>
      </c>
      <c r="H362" s="4" t="s">
        <v>383</v>
      </c>
      <c r="I362" s="4">
        <v>5779711000</v>
      </c>
      <c r="J362" s="4" t="s">
        <v>278</v>
      </c>
      <c r="K362" s="4" t="s">
        <v>384</v>
      </c>
      <c r="L362" s="4">
        <v>122</v>
      </c>
      <c r="M362" s="4">
        <v>122</v>
      </c>
      <c r="N362" s="5">
        <v>42324</v>
      </c>
      <c r="O362" s="5">
        <v>44196</v>
      </c>
      <c r="P362" s="4" t="s">
        <v>59</v>
      </c>
    </row>
    <row r="363" spans="1:16">
      <c r="A363" s="4" t="s">
        <v>17</v>
      </c>
      <c r="B363" s="5">
        <v>42304</v>
      </c>
      <c r="C363" s="4" t="str">
        <f>"7/PA"</f>
        <v>7/PA</v>
      </c>
      <c r="D363" s="4">
        <v>21406052</v>
      </c>
      <c r="E363" s="5">
        <v>42306</v>
      </c>
      <c r="F363" s="4">
        <v>5338</v>
      </c>
      <c r="G363" s="4">
        <v>8018</v>
      </c>
      <c r="H363" s="4" t="s">
        <v>385</v>
      </c>
      <c r="I363" s="4">
        <v>2073190361</v>
      </c>
      <c r="J363" s="4" t="s">
        <v>386</v>
      </c>
      <c r="K363" s="4" t="s">
        <v>127</v>
      </c>
      <c r="L363" s="4">
        <v>46.84</v>
      </c>
      <c r="M363" s="4">
        <v>46.84</v>
      </c>
      <c r="N363" s="5">
        <v>42334</v>
      </c>
      <c r="O363" s="5">
        <v>44196</v>
      </c>
      <c r="P363" s="4" t="s">
        <v>68</v>
      </c>
    </row>
    <row r="364" spans="1:16">
      <c r="A364" s="4" t="s">
        <v>45</v>
      </c>
      <c r="B364" s="5">
        <v>42283</v>
      </c>
      <c r="C364" s="4" t="str">
        <f>"8H01037958"</f>
        <v>8H01037958</v>
      </c>
      <c r="D364" s="4">
        <v>20741496</v>
      </c>
      <c r="E364" s="5">
        <v>42303</v>
      </c>
      <c r="F364" s="4">
        <v>5235</v>
      </c>
      <c r="G364" s="4">
        <v>2386</v>
      </c>
      <c r="H364" s="4" t="s">
        <v>314</v>
      </c>
      <c r="I364" s="4">
        <v>488410010</v>
      </c>
      <c r="J364" s="4" t="s">
        <v>315</v>
      </c>
      <c r="K364" s="4" t="s">
        <v>387</v>
      </c>
      <c r="L364" s="4">
        <v>-132.97999999999999</v>
      </c>
      <c r="M364" s="4">
        <v>-109</v>
      </c>
      <c r="N364" s="4"/>
      <c r="O364" s="5">
        <v>44196</v>
      </c>
      <c r="P364" s="4" t="s">
        <v>163</v>
      </c>
    </row>
    <row r="365" spans="1:16">
      <c r="A365" s="4" t="s">
        <v>45</v>
      </c>
      <c r="B365" s="5">
        <v>42283</v>
      </c>
      <c r="C365" s="4" t="str">
        <f>"8H01038096"</f>
        <v>8H01038096</v>
      </c>
      <c r="D365" s="4">
        <v>20748927</v>
      </c>
      <c r="E365" s="5">
        <v>42303</v>
      </c>
      <c r="F365" s="4">
        <v>5227</v>
      </c>
      <c r="G365" s="4">
        <v>2386</v>
      </c>
      <c r="H365" s="4" t="s">
        <v>314</v>
      </c>
      <c r="I365" s="4">
        <v>488410010</v>
      </c>
      <c r="J365" s="4" t="s">
        <v>315</v>
      </c>
      <c r="K365" s="4" t="s">
        <v>388</v>
      </c>
      <c r="L365" s="4">
        <v>-176.02</v>
      </c>
      <c r="M365" s="4">
        <v>-144.28</v>
      </c>
      <c r="N365" s="4"/>
      <c r="O365" s="5">
        <v>44196</v>
      </c>
      <c r="P365" s="4" t="s">
        <v>163</v>
      </c>
    </row>
    <row r="366" spans="1:16">
      <c r="A366" s="4" t="s">
        <v>45</v>
      </c>
      <c r="B366" s="5">
        <v>42283</v>
      </c>
      <c r="C366" s="4" t="str">
        <f>"XH00004059"</f>
        <v>XH00004059</v>
      </c>
      <c r="D366" s="4">
        <v>21110687</v>
      </c>
      <c r="E366" s="5">
        <v>42314</v>
      </c>
      <c r="F366" s="4">
        <v>5430</v>
      </c>
      <c r="G366" s="4">
        <v>2386</v>
      </c>
      <c r="H366" s="4" t="s">
        <v>314</v>
      </c>
      <c r="I366" s="4">
        <v>488410010</v>
      </c>
      <c r="J366" s="4" t="s">
        <v>315</v>
      </c>
      <c r="K366" s="4" t="s">
        <v>389</v>
      </c>
      <c r="L366" s="4">
        <v>-690.12</v>
      </c>
      <c r="M366" s="4">
        <v>-565.66999999999996</v>
      </c>
      <c r="N366" s="4"/>
      <c r="O366" s="5">
        <v>44196</v>
      </c>
      <c r="P366" s="4" t="s">
        <v>163</v>
      </c>
    </row>
    <row r="367" spans="1:16">
      <c r="A367" s="4" t="s">
        <v>45</v>
      </c>
      <c r="B367" s="5">
        <v>42283</v>
      </c>
      <c r="C367" s="4" t="str">
        <f>"XH00004092"</f>
        <v>XH00004092</v>
      </c>
      <c r="D367" s="4">
        <v>21110692</v>
      </c>
      <c r="E367" s="5">
        <v>42314</v>
      </c>
      <c r="F367" s="4">
        <v>5429</v>
      </c>
      <c r="G367" s="4">
        <v>2386</v>
      </c>
      <c r="H367" s="4" t="s">
        <v>314</v>
      </c>
      <c r="I367" s="4">
        <v>488410010</v>
      </c>
      <c r="J367" s="4" t="s">
        <v>315</v>
      </c>
      <c r="K367" s="4" t="s">
        <v>390</v>
      </c>
      <c r="L367" s="4">
        <v>-351.79</v>
      </c>
      <c r="M367" s="4">
        <v>-288.35000000000002</v>
      </c>
      <c r="N367" s="4"/>
      <c r="O367" s="5">
        <v>44196</v>
      </c>
      <c r="P367" s="4" t="s">
        <v>163</v>
      </c>
    </row>
    <row r="368" spans="1:16">
      <c r="A368" s="4" t="s">
        <v>17</v>
      </c>
      <c r="B368" s="5">
        <v>42203</v>
      </c>
      <c r="C368" s="4" t="str">
        <f>"0000915900001637"</f>
        <v>0000915900001637</v>
      </c>
      <c r="D368" s="4">
        <v>13658921</v>
      </c>
      <c r="E368" s="5">
        <v>42222</v>
      </c>
      <c r="F368" s="4">
        <v>3971</v>
      </c>
      <c r="G368" s="4">
        <v>2729</v>
      </c>
      <c r="H368" s="4" t="s">
        <v>383</v>
      </c>
      <c r="I368" s="4">
        <v>5779711000</v>
      </c>
      <c r="J368" s="4" t="s">
        <v>278</v>
      </c>
      <c r="K368" s="4" t="s">
        <v>284</v>
      </c>
      <c r="L368" s="6">
        <v>5120.67</v>
      </c>
      <c r="M368" s="6">
        <v>5120.67</v>
      </c>
      <c r="N368" s="5">
        <v>42233</v>
      </c>
      <c r="O368" s="5">
        <v>44196</v>
      </c>
      <c r="P368" s="4" t="s">
        <v>283</v>
      </c>
    </row>
    <row r="369" spans="1:16">
      <c r="A369" s="4" t="s">
        <v>45</v>
      </c>
      <c r="B369" s="5">
        <v>42177</v>
      </c>
      <c r="C369" s="4" t="str">
        <f>"S000003296"</f>
        <v>S000003296</v>
      </c>
      <c r="D369" s="4">
        <v>11706114</v>
      </c>
      <c r="E369" s="5">
        <v>42208</v>
      </c>
      <c r="F369" s="4">
        <v>3663</v>
      </c>
      <c r="G369" s="4">
        <v>7140</v>
      </c>
      <c r="H369" s="4" t="s">
        <v>306</v>
      </c>
      <c r="I369" s="4">
        <v>6832931007</v>
      </c>
      <c r="J369" s="4" t="s">
        <v>307</v>
      </c>
      <c r="K369" s="4" t="s">
        <v>391</v>
      </c>
      <c r="L369" s="4">
        <v>-205.9</v>
      </c>
      <c r="M369" s="4">
        <v>-168.73</v>
      </c>
      <c r="N369" s="4"/>
      <c r="O369" s="4"/>
      <c r="P369" s="4" t="s">
        <v>163</v>
      </c>
    </row>
    <row r="370" spans="1:16">
      <c r="A370" s="4" t="s">
        <v>45</v>
      </c>
      <c r="B370" s="5">
        <v>42177</v>
      </c>
      <c r="C370" s="4" t="str">
        <f>"S000003299"</f>
        <v>S000003299</v>
      </c>
      <c r="D370" s="4">
        <v>11706116</v>
      </c>
      <c r="E370" s="5">
        <v>42208</v>
      </c>
      <c r="F370" s="4">
        <v>3660</v>
      </c>
      <c r="G370" s="4">
        <v>7140</v>
      </c>
      <c r="H370" s="4" t="s">
        <v>306</v>
      </c>
      <c r="I370" s="4">
        <v>6832931007</v>
      </c>
      <c r="J370" s="4" t="s">
        <v>307</v>
      </c>
      <c r="K370" s="4" t="s">
        <v>392</v>
      </c>
      <c r="L370" s="4">
        <v>-139.46</v>
      </c>
      <c r="M370" s="4">
        <v>-114.31</v>
      </c>
      <c r="N370" s="4"/>
      <c r="O370" s="4"/>
      <c r="P370" s="4" t="s">
        <v>163</v>
      </c>
    </row>
    <row r="371" spans="1:16">
      <c r="A371" s="4" t="s">
        <v>45</v>
      </c>
      <c r="B371" s="5">
        <v>42177</v>
      </c>
      <c r="C371" s="4" t="str">
        <f>"S000003310"</f>
        <v>S000003310</v>
      </c>
      <c r="D371" s="4">
        <v>11706128</v>
      </c>
      <c r="E371" s="5">
        <v>42208</v>
      </c>
      <c r="F371" s="4">
        <v>3650</v>
      </c>
      <c r="G371" s="4">
        <v>7140</v>
      </c>
      <c r="H371" s="4" t="s">
        <v>306</v>
      </c>
      <c r="I371" s="4">
        <v>6832931007</v>
      </c>
      <c r="J371" s="4" t="s">
        <v>307</v>
      </c>
      <c r="K371" s="4" t="s">
        <v>393</v>
      </c>
      <c r="L371" s="4">
        <v>-229.19</v>
      </c>
      <c r="M371" s="4">
        <v>-187.86</v>
      </c>
      <c r="N371" s="4"/>
      <c r="O371" s="4"/>
      <c r="P371" s="4" t="s">
        <v>163</v>
      </c>
    </row>
    <row r="372" spans="1:16">
      <c r="A372" s="4" t="s">
        <v>45</v>
      </c>
      <c r="B372" s="5">
        <v>42177</v>
      </c>
      <c r="C372" s="4" t="str">
        <f>"S000003311"</f>
        <v>S000003311</v>
      </c>
      <c r="D372" s="4">
        <v>11706451</v>
      </c>
      <c r="E372" s="5">
        <v>42208</v>
      </c>
      <c r="F372" s="4">
        <v>3649</v>
      </c>
      <c r="G372" s="4">
        <v>7140</v>
      </c>
      <c r="H372" s="4" t="s">
        <v>306</v>
      </c>
      <c r="I372" s="4">
        <v>6832931007</v>
      </c>
      <c r="J372" s="4" t="s">
        <v>307</v>
      </c>
      <c r="K372" s="4" t="s">
        <v>394</v>
      </c>
      <c r="L372" s="4">
        <v>-410.58</v>
      </c>
      <c r="M372" s="4">
        <v>-336.51</v>
      </c>
      <c r="N372" s="4"/>
      <c r="O372" s="4"/>
      <c r="P372" s="4" t="s">
        <v>163</v>
      </c>
    </row>
    <row r="373" spans="1:16">
      <c r="A373" s="4" t="s">
        <v>17</v>
      </c>
      <c r="B373" s="5">
        <v>42156</v>
      </c>
      <c r="C373" s="4" t="str">
        <f>"747/D"</f>
        <v>747/D</v>
      </c>
      <c r="D373" s="4">
        <v>11350155</v>
      </c>
      <c r="E373" s="5">
        <v>42198</v>
      </c>
      <c r="F373" s="4">
        <v>3528</v>
      </c>
      <c r="G373" s="4">
        <v>4475</v>
      </c>
      <c r="H373" s="4" t="s">
        <v>239</v>
      </c>
      <c r="I373" s="4">
        <v>915090393</v>
      </c>
      <c r="J373" s="4" t="s">
        <v>240</v>
      </c>
      <c r="K373" s="4" t="s">
        <v>395</v>
      </c>
      <c r="L373" s="4">
        <v>387.2</v>
      </c>
      <c r="M373" s="4">
        <v>387.2</v>
      </c>
      <c r="N373" s="5">
        <v>42262</v>
      </c>
      <c r="O373" s="5">
        <v>44196</v>
      </c>
      <c r="P373" s="4" t="s">
        <v>31</v>
      </c>
    </row>
    <row r="374" spans="1:16">
      <c r="A374" s="4" t="s">
        <v>45</v>
      </c>
      <c r="B374" s="5">
        <v>42131</v>
      </c>
      <c r="C374" s="4" t="str">
        <f>"O000000192"</f>
        <v>O000000192</v>
      </c>
      <c r="D374" s="4">
        <v>34691207</v>
      </c>
      <c r="E374" s="5">
        <v>42612</v>
      </c>
      <c r="F374" s="4">
        <v>4685</v>
      </c>
      <c r="G374" s="4">
        <v>7140</v>
      </c>
      <c r="H374" s="4" t="s">
        <v>306</v>
      </c>
      <c r="I374" s="4">
        <v>6832931007</v>
      </c>
      <c r="J374" s="4" t="s">
        <v>307</v>
      </c>
      <c r="K374" s="4"/>
      <c r="L374" s="6">
        <v>-13481.39</v>
      </c>
      <c r="M374" s="6">
        <v>-13481.39</v>
      </c>
      <c r="N374" s="4"/>
      <c r="O374" s="4"/>
      <c r="P374" s="4" t="s">
        <v>59</v>
      </c>
    </row>
    <row r="375" spans="1:16">
      <c r="A375" s="4" t="s">
        <v>17</v>
      </c>
      <c r="B375" s="5">
        <v>42125</v>
      </c>
      <c r="C375" s="4" t="str">
        <f>"594/D"</f>
        <v>594/D</v>
      </c>
      <c r="D375" s="4">
        <v>9544175</v>
      </c>
      <c r="E375" s="5">
        <v>42192</v>
      </c>
      <c r="F375" s="4">
        <v>3396</v>
      </c>
      <c r="G375" s="4">
        <v>4475</v>
      </c>
      <c r="H375" s="4" t="s">
        <v>239</v>
      </c>
      <c r="I375" s="4">
        <v>915090393</v>
      </c>
      <c r="J375" s="4" t="s">
        <v>240</v>
      </c>
      <c r="K375" s="4" t="s">
        <v>396</v>
      </c>
      <c r="L375" s="4">
        <v>337.7</v>
      </c>
      <c r="M375" s="4">
        <v>337.7</v>
      </c>
      <c r="N375" s="5">
        <v>42241</v>
      </c>
      <c r="O375" s="5">
        <v>44196</v>
      </c>
      <c r="P375" s="4" t="s">
        <v>31</v>
      </c>
    </row>
    <row r="376" spans="1:16">
      <c r="A376" s="4" t="s">
        <v>45</v>
      </c>
      <c r="B376" s="5">
        <v>42121</v>
      </c>
      <c r="C376" s="4" t="str">
        <f>"S000000823"</f>
        <v>S000000823</v>
      </c>
      <c r="D376" s="4">
        <v>0</v>
      </c>
      <c r="E376" s="5">
        <v>42138</v>
      </c>
      <c r="F376" s="4">
        <v>2446</v>
      </c>
      <c r="G376" s="4">
        <v>7140</v>
      </c>
      <c r="H376" s="4" t="s">
        <v>306</v>
      </c>
      <c r="I376" s="4">
        <v>6832931007</v>
      </c>
      <c r="J376" s="4" t="s">
        <v>307</v>
      </c>
      <c r="K376" s="4" t="s">
        <v>397</v>
      </c>
      <c r="L376" s="6">
        <v>-3945.87</v>
      </c>
      <c r="M376" s="6">
        <v>-3234.32</v>
      </c>
      <c r="N376" s="4"/>
      <c r="O376" s="4"/>
      <c r="P376" s="4"/>
    </row>
    <row r="377" spans="1:16">
      <c r="M377">
        <f>SUM(M3:M376)</f>
        <v>129100.99000000005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EXHW079370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Pesci Silvia</dc:creator>
  <cp:lastModifiedBy>Silvia Pesci</cp:lastModifiedBy>
  <dcterms:created xsi:type="dcterms:W3CDTF">2022-05-11T08:42:56Z</dcterms:created>
  <dcterms:modified xsi:type="dcterms:W3CDTF">2022-05-11T08:42:56Z</dcterms:modified>
</cp:coreProperties>
</file>